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aten\A Schule\_Fächer\1 Mathematik\1 - Übungsautomaten (Fe)\"/>
    </mc:Choice>
  </mc:AlternateContent>
  <bookViews>
    <workbookView xWindow="0" yWindow="0" windowWidth="20220" windowHeight="5850" tabRatio="638"/>
  </bookViews>
  <sheets>
    <sheet name="Arbeitsblatt kostbar" sheetId="5" r:id="rId1"/>
    <sheet name="Arbeitsblatt kost Lös" sheetId="6" r:id="rId2"/>
    <sheet name="Arbeitsblatt alle" sheetId="7" r:id="rId3"/>
    <sheet name="Arbeitsblatt alle Lös" sheetId="8" r:id="rId4"/>
    <sheet name="Test" sheetId="10" r:id="rId5"/>
    <sheet name="Test Lös" sheetId="9" r:id="rId6"/>
    <sheet name="alle Stoffe" sheetId="1" state="hidden" r:id="rId7"/>
    <sheet name="wertvoll" sheetId="2" state="hidden" r:id="rId8"/>
    <sheet name="Kosten" sheetId="4" state="hidden" r:id="rId9"/>
    <sheet name="wenig_Wert" sheetId="3" state="hidden" r:id="rId10"/>
  </sheets>
  <definedNames>
    <definedName name="_xlnm.Print_Area" localSheetId="2">'Arbeitsblatt alle'!$B$2:$Q$40</definedName>
    <definedName name="_xlnm.Print_Area" localSheetId="3">'Arbeitsblatt alle Lös'!$B$2:$Q$40</definedName>
    <definedName name="_xlnm.Print_Area" localSheetId="1">'Arbeitsblatt kost Lös'!$B$2:$J$43</definedName>
    <definedName name="_xlnm.Print_Area" localSheetId="0">'Arbeitsblatt kostbar'!$B$2:$J$43</definedName>
    <definedName name="_xlnm.Print_Area" localSheetId="4">Test!$B$2:$Q$43</definedName>
    <definedName name="_xlnm.Print_Area" localSheetId="5">'Test Lös'!$B$2:$Q$45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6" l="1"/>
  <c r="I12" i="6"/>
  <c r="I13" i="6"/>
  <c r="I14" i="6"/>
  <c r="I15" i="6"/>
  <c r="I10" i="6"/>
  <c r="I15" i="5"/>
  <c r="I14" i="5"/>
  <c r="I13" i="5"/>
  <c r="I12" i="5"/>
  <c r="I11" i="5"/>
  <c r="I10" i="5"/>
  <c r="O25" i="9"/>
  <c r="O26" i="9"/>
  <c r="O27" i="9"/>
  <c r="O28" i="9"/>
  <c r="O29" i="9"/>
  <c r="O30" i="9"/>
  <c r="O31" i="9"/>
  <c r="O32" i="9"/>
  <c r="O32" i="10"/>
  <c r="O33" i="9"/>
  <c r="O33" i="10"/>
  <c r="O34" i="9"/>
  <c r="O24" i="9"/>
  <c r="I25" i="9"/>
  <c r="I26" i="9"/>
  <c r="I27" i="9"/>
  <c r="I28" i="9"/>
  <c r="I29" i="9"/>
  <c r="I30" i="9"/>
  <c r="I31" i="9"/>
  <c r="I32" i="9"/>
  <c r="I33" i="9"/>
  <c r="I34" i="9"/>
  <c r="I34" i="10"/>
  <c r="I35" i="9"/>
  <c r="I35" i="10"/>
  <c r="I36" i="9"/>
  <c r="I24" i="9"/>
  <c r="E25" i="9"/>
  <c r="E26" i="9"/>
  <c r="E27" i="9"/>
  <c r="E28" i="9"/>
  <c r="E29" i="9"/>
  <c r="E30" i="9"/>
  <c r="E31" i="9"/>
  <c r="E32" i="9"/>
  <c r="E33" i="9"/>
  <c r="E34" i="9"/>
  <c r="E34" i="10"/>
  <c r="E35" i="9"/>
  <c r="E35" i="10"/>
  <c r="E36" i="9"/>
  <c r="E24" i="9"/>
  <c r="H1" i="2"/>
  <c r="H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L15" i="2"/>
  <c r="U15" i="2" s="1"/>
  <c r="G15" i="2" s="1"/>
  <c r="L2" i="2"/>
  <c r="M2" i="2" s="1"/>
  <c r="U2" i="2" s="1"/>
  <c r="G2" i="2" s="1"/>
  <c r="L6" i="2"/>
  <c r="M6" i="2" s="1"/>
  <c r="L16" i="2"/>
  <c r="U16" i="2" s="1"/>
  <c r="G16" i="2" s="1"/>
  <c r="L14" i="2"/>
  <c r="V14" i="2" s="1"/>
  <c r="L18" i="2"/>
  <c r="U18" i="2" s="1"/>
  <c r="G18" i="2" s="1"/>
  <c r="L4" i="2"/>
  <c r="L12" i="2"/>
  <c r="L20" i="2"/>
  <c r="U20" i="2" s="1"/>
  <c r="G20" i="2" s="1"/>
  <c r="L17" i="2"/>
  <c r="U17" i="2" s="1"/>
  <c r="G17" i="2" s="1"/>
  <c r="L5" i="2"/>
  <c r="M5" i="2" s="1"/>
  <c r="L21" i="2"/>
  <c r="U21" i="2" s="1"/>
  <c r="G21" i="2" s="1"/>
  <c r="R21" i="2"/>
  <c r="R4" i="2"/>
  <c r="R15" i="2"/>
  <c r="R2" i="2"/>
  <c r="S2" i="2"/>
  <c r="R6" i="2"/>
  <c r="R16" i="2"/>
  <c r="M16" i="2"/>
  <c r="S16" i="2" s="1"/>
  <c r="R14" i="2"/>
  <c r="R18" i="2"/>
  <c r="R12" i="2"/>
  <c r="R20" i="2"/>
  <c r="M20" i="2"/>
  <c r="N20" i="2" s="1"/>
  <c r="S20" i="2" s="1"/>
  <c r="R17" i="2"/>
  <c r="R5" i="2"/>
  <c r="R13" i="2"/>
  <c r="L13" i="2"/>
  <c r="C10" i="9"/>
  <c r="R24" i="2"/>
  <c r="L24" i="2"/>
  <c r="R7" i="2"/>
  <c r="L7" i="2"/>
  <c r="S7" i="2" s="1"/>
  <c r="R10" i="2"/>
  <c r="L10" i="2"/>
  <c r="S10" i="2" s="1"/>
  <c r="R19" i="2"/>
  <c r="L19" i="2"/>
  <c r="M19" i="2" s="1"/>
  <c r="S19" i="2" s="1"/>
  <c r="R1" i="2"/>
  <c r="L1" i="2"/>
  <c r="S1" i="2" s="1"/>
  <c r="R3" i="2"/>
  <c r="L3" i="2"/>
  <c r="S3" i="2" s="1"/>
  <c r="R11" i="2"/>
  <c r="L11" i="2"/>
  <c r="S11" i="2" s="1"/>
  <c r="R23" i="2"/>
  <c r="L23" i="2"/>
  <c r="M23" i="2" s="1"/>
  <c r="N23" i="2" s="1"/>
  <c r="S23" i="2" s="1"/>
  <c r="C8" i="9"/>
  <c r="R8" i="2"/>
  <c r="L8" i="2"/>
  <c r="S8" i="2" s="1"/>
  <c r="R22" i="2"/>
  <c r="L22" i="2"/>
  <c r="M22" i="2" s="1"/>
  <c r="N22" i="2" s="1"/>
  <c r="S22" i="2" s="1"/>
  <c r="R9" i="2"/>
  <c r="L9" i="2"/>
  <c r="S9" i="2" s="1"/>
  <c r="U19" i="2"/>
  <c r="G19" i="2" s="1"/>
  <c r="M9" i="2"/>
  <c r="N9" i="2" s="1"/>
  <c r="U9" i="2" s="1"/>
  <c r="G9" i="2" s="1"/>
  <c r="B13" i="10"/>
  <c r="B14" i="9" s="1"/>
  <c r="B12" i="10"/>
  <c r="B13" i="9" s="1"/>
  <c r="Y1" i="3"/>
  <c r="Y2" i="3"/>
  <c r="Y3" i="3"/>
  <c r="Y4" i="3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T20" i="3"/>
  <c r="L21" i="3"/>
  <c r="N21" i="3" s="1"/>
  <c r="O21" i="3" s="1"/>
  <c r="U20" i="3" s="1"/>
  <c r="T15" i="3"/>
  <c r="L16" i="3"/>
  <c r="N16" i="3" s="1"/>
  <c r="U15" i="3" s="1"/>
  <c r="T16" i="3"/>
  <c r="L17" i="3"/>
  <c r="N17" i="3" s="1"/>
  <c r="O17" i="3" s="1"/>
  <c r="U16" i="3" s="1"/>
  <c r="T21" i="3"/>
  <c r="L22" i="3"/>
  <c r="T29" i="3"/>
  <c r="L30" i="3"/>
  <c r="T5" i="3"/>
  <c r="L6" i="3"/>
  <c r="T12" i="3"/>
  <c r="L13" i="3"/>
  <c r="N13" i="3" s="1"/>
  <c r="O13" i="3"/>
  <c r="U12" i="3" s="1"/>
  <c r="X12" i="3" s="1"/>
  <c r="T26" i="3"/>
  <c r="L27" i="3"/>
  <c r="T13" i="3"/>
  <c r="L14" i="3"/>
  <c r="M14" i="3" s="1"/>
  <c r="U13" i="3" s="1"/>
  <c r="T22" i="3"/>
  <c r="L23" i="3"/>
  <c r="U22" i="3" s="1"/>
  <c r="T23" i="3"/>
  <c r="L24" i="3"/>
  <c r="T31" i="3"/>
  <c r="L32" i="3"/>
  <c r="W31" i="3" s="1"/>
  <c r="T19" i="3"/>
  <c r="L20" i="3"/>
  <c r="N20" i="3" s="1"/>
  <c r="U19" i="3" s="1"/>
  <c r="T24" i="3"/>
  <c r="L25" i="3"/>
  <c r="N25" i="3" s="1"/>
  <c r="O25" i="3" s="1"/>
  <c r="U24" i="3" s="1"/>
  <c r="T6" i="3"/>
  <c r="L7" i="3"/>
  <c r="U6" i="3" s="1"/>
  <c r="T2" i="3"/>
  <c r="L3" i="3"/>
  <c r="M3" i="3" s="1"/>
  <c r="T30" i="3"/>
  <c r="L31" i="3"/>
  <c r="U30" i="3" s="1"/>
  <c r="T9" i="3"/>
  <c r="L10" i="3"/>
  <c r="M10" i="3" s="1"/>
  <c r="U9" i="3" s="1"/>
  <c r="T17" i="3"/>
  <c r="L18" i="3"/>
  <c r="T3" i="3"/>
  <c r="L4" i="3"/>
  <c r="N4" i="3" s="1"/>
  <c r="T1" i="3"/>
  <c r="L2" i="3"/>
  <c r="M2" i="3" s="1"/>
  <c r="U1" i="3" s="1"/>
  <c r="T10" i="3"/>
  <c r="L11" i="3"/>
  <c r="U10" i="3" s="1"/>
  <c r="T28" i="3"/>
  <c r="L29" i="3"/>
  <c r="N29" i="3" s="1"/>
  <c r="O29" i="3" s="1"/>
  <c r="U28" i="3" s="1"/>
  <c r="T25" i="3"/>
  <c r="L26" i="3"/>
  <c r="M26" i="3" s="1"/>
  <c r="U25" i="3" s="1"/>
  <c r="T18" i="3"/>
  <c r="L19" i="3"/>
  <c r="T11" i="3"/>
  <c r="L12" i="3"/>
  <c r="W11" i="3" s="1"/>
  <c r="W15" i="3"/>
  <c r="M13" i="3"/>
  <c r="W12" i="3" s="1"/>
  <c r="B20" i="10"/>
  <c r="B21" i="9" s="1"/>
  <c r="T8" i="3"/>
  <c r="L9" i="3"/>
  <c r="N9" i="3" s="1"/>
  <c r="O9" i="3" s="1"/>
  <c r="U8" i="3" s="1"/>
  <c r="T27" i="3"/>
  <c r="L28" i="3"/>
  <c r="N28" i="3" s="1"/>
  <c r="T4" i="3"/>
  <c r="L5" i="3"/>
  <c r="N5" i="3" s="1"/>
  <c r="O5" i="3" s="1"/>
  <c r="U4" i="3" s="1"/>
  <c r="B19" i="10"/>
  <c r="B20" i="9" s="1"/>
  <c r="B18" i="10"/>
  <c r="B19" i="9" s="1"/>
  <c r="B17" i="10"/>
  <c r="B18" i="9" s="1"/>
  <c r="B16" i="10"/>
  <c r="B17" i="9" s="1"/>
  <c r="B15" i="10"/>
  <c r="B16" i="9" s="1"/>
  <c r="B14" i="10"/>
  <c r="B15" i="9" s="1"/>
  <c r="B11" i="10"/>
  <c r="B12" i="9" s="1"/>
  <c r="B10" i="10"/>
  <c r="B11" i="9" s="1"/>
  <c r="B9" i="10"/>
  <c r="B10" i="9" s="1"/>
  <c r="B8" i="10"/>
  <c r="B9" i="9" s="1"/>
  <c r="B7" i="10"/>
  <c r="B8" i="9" s="1"/>
  <c r="B6" i="10"/>
  <c r="B7" i="9" s="1"/>
  <c r="Q2" i="9"/>
  <c r="D43" i="10"/>
  <c r="D42" i="10"/>
  <c r="D41" i="10"/>
  <c r="D40" i="10"/>
  <c r="D39" i="10"/>
  <c r="D38" i="10"/>
  <c r="G35" i="10"/>
  <c r="B35" i="10"/>
  <c r="G34" i="10"/>
  <c r="B34" i="10"/>
  <c r="L33" i="10"/>
  <c r="I33" i="10"/>
  <c r="G33" i="10"/>
  <c r="E33" i="10"/>
  <c r="B33" i="10"/>
  <c r="L32" i="10"/>
  <c r="I32" i="10"/>
  <c r="G32" i="10"/>
  <c r="E32" i="10"/>
  <c r="B32" i="10"/>
  <c r="O31" i="10"/>
  <c r="L31" i="10"/>
  <c r="I31" i="10"/>
  <c r="G31" i="10"/>
  <c r="E31" i="10"/>
  <c r="B31" i="10"/>
  <c r="O30" i="10"/>
  <c r="L30" i="10"/>
  <c r="I30" i="10"/>
  <c r="G30" i="10"/>
  <c r="E30" i="10"/>
  <c r="B30" i="10"/>
  <c r="O29" i="10"/>
  <c r="L29" i="10"/>
  <c r="I29" i="10"/>
  <c r="G29" i="10"/>
  <c r="E29" i="10"/>
  <c r="B29" i="10"/>
  <c r="O28" i="10"/>
  <c r="L28" i="10"/>
  <c r="I28" i="10"/>
  <c r="G28" i="10"/>
  <c r="E28" i="10"/>
  <c r="B28" i="10"/>
  <c r="O27" i="10"/>
  <c r="L27" i="10"/>
  <c r="I27" i="10"/>
  <c r="G27" i="10"/>
  <c r="E27" i="10"/>
  <c r="B27" i="10"/>
  <c r="O26" i="10"/>
  <c r="L26" i="10"/>
  <c r="I26" i="10"/>
  <c r="G26" i="10"/>
  <c r="E26" i="10"/>
  <c r="B26" i="10"/>
  <c r="O25" i="10"/>
  <c r="L25" i="10"/>
  <c r="I25" i="10"/>
  <c r="G25" i="10"/>
  <c r="E25" i="10"/>
  <c r="B25" i="10"/>
  <c r="O24" i="10"/>
  <c r="L24" i="10"/>
  <c r="I24" i="10"/>
  <c r="G24" i="10"/>
  <c r="E24" i="10"/>
  <c r="B24" i="10"/>
  <c r="O23" i="10"/>
  <c r="L23" i="10"/>
  <c r="I23" i="10"/>
  <c r="G23" i="10"/>
  <c r="E23" i="10"/>
  <c r="B23" i="10"/>
  <c r="L15" i="3"/>
  <c r="N15" i="3" s="1"/>
  <c r="O15" i="3" s="1"/>
  <c r="W14" i="3" s="1"/>
  <c r="T14" i="3"/>
  <c r="L8" i="3"/>
  <c r="W7" i="3" s="1"/>
  <c r="T7" i="3"/>
  <c r="N8" i="3"/>
  <c r="C6" i="4"/>
  <c r="B6" i="4"/>
  <c r="V19" i="2"/>
  <c r="B2" i="4"/>
  <c r="B3" i="4"/>
  <c r="C4" i="4"/>
  <c r="B4" i="4"/>
  <c r="V2" i="2"/>
  <c r="C5" i="4"/>
  <c r="B5" i="4"/>
  <c r="V10" i="2"/>
  <c r="C11" i="10"/>
  <c r="C9" i="10"/>
  <c r="C7" i="10"/>
  <c r="D40" i="9"/>
  <c r="D41" i="9"/>
  <c r="D42" i="9"/>
  <c r="D43" i="9"/>
  <c r="D44" i="9"/>
  <c r="D39" i="9"/>
  <c r="G35" i="9"/>
  <c r="L34" i="9"/>
  <c r="L33" i="9"/>
  <c r="G36" i="9"/>
  <c r="B36" i="9"/>
  <c r="B35" i="9"/>
  <c r="L28" i="9"/>
  <c r="L29" i="9"/>
  <c r="L30" i="9"/>
  <c r="L31" i="9"/>
  <c r="L32" i="9"/>
  <c r="G28" i="9"/>
  <c r="G29" i="9"/>
  <c r="G30" i="9"/>
  <c r="G31" i="9"/>
  <c r="G32" i="9"/>
  <c r="G33" i="9"/>
  <c r="G34" i="9"/>
  <c r="B28" i="9"/>
  <c r="B29" i="9"/>
  <c r="B30" i="9"/>
  <c r="B31" i="9"/>
  <c r="B32" i="9"/>
  <c r="B33" i="9"/>
  <c r="B34" i="9"/>
  <c r="B25" i="9"/>
  <c r="G25" i="9"/>
  <c r="L25" i="9"/>
  <c r="B26" i="9"/>
  <c r="G26" i="9"/>
  <c r="L26" i="9"/>
  <c r="B27" i="9"/>
  <c r="G27" i="9"/>
  <c r="L27" i="9"/>
  <c r="L24" i="9"/>
  <c r="G24" i="9"/>
  <c r="B24" i="9"/>
  <c r="C12" i="9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19" i="8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Q2" i="8"/>
  <c r="N8" i="7"/>
  <c r="N9" i="7"/>
  <c r="N10" i="7"/>
  <c r="N11" i="7"/>
  <c r="N12" i="7"/>
  <c r="N13" i="7"/>
  <c r="N14" i="7"/>
  <c r="N15" i="7"/>
  <c r="N7" i="7"/>
  <c r="I17" i="7"/>
  <c r="I8" i="7"/>
  <c r="I9" i="7"/>
  <c r="I10" i="7"/>
  <c r="I11" i="7"/>
  <c r="I12" i="7"/>
  <c r="I13" i="7"/>
  <c r="I14" i="7"/>
  <c r="I15" i="7"/>
  <c r="I16" i="7"/>
  <c r="I7" i="7"/>
  <c r="E17" i="7"/>
  <c r="E8" i="7"/>
  <c r="E9" i="7"/>
  <c r="E10" i="7"/>
  <c r="E11" i="7"/>
  <c r="E12" i="7"/>
  <c r="E13" i="7"/>
  <c r="E14" i="7"/>
  <c r="E15" i="7"/>
  <c r="E16" i="7"/>
  <c r="E7" i="7"/>
  <c r="N8" i="8"/>
  <c r="N9" i="8"/>
  <c r="N10" i="8"/>
  <c r="N11" i="8"/>
  <c r="N12" i="8"/>
  <c r="N13" i="8"/>
  <c r="N14" i="8"/>
  <c r="N15" i="8"/>
  <c r="K8" i="8"/>
  <c r="K9" i="8"/>
  <c r="K10" i="8"/>
  <c r="K11" i="8"/>
  <c r="K12" i="8"/>
  <c r="K13" i="8"/>
  <c r="K14" i="8"/>
  <c r="K15" i="8"/>
  <c r="I8" i="8"/>
  <c r="I9" i="8"/>
  <c r="I10" i="8"/>
  <c r="I11" i="8"/>
  <c r="I12" i="8"/>
  <c r="I13" i="8"/>
  <c r="I14" i="8"/>
  <c r="I15" i="8"/>
  <c r="I16" i="8"/>
  <c r="I17" i="8"/>
  <c r="G8" i="8"/>
  <c r="G9" i="8"/>
  <c r="G10" i="8"/>
  <c r="G11" i="8"/>
  <c r="G12" i="8"/>
  <c r="G13" i="8"/>
  <c r="G14" i="8"/>
  <c r="G15" i="8"/>
  <c r="G16" i="8"/>
  <c r="G17" i="8"/>
  <c r="E8" i="8"/>
  <c r="E9" i="8"/>
  <c r="E10" i="8"/>
  <c r="E11" i="8"/>
  <c r="E12" i="8"/>
  <c r="E13" i="8"/>
  <c r="E14" i="8"/>
  <c r="E15" i="8"/>
  <c r="E16" i="8"/>
  <c r="E17" i="8"/>
  <c r="B8" i="8"/>
  <c r="B9" i="8"/>
  <c r="B10" i="8"/>
  <c r="B11" i="8"/>
  <c r="B12" i="8"/>
  <c r="B13" i="8"/>
  <c r="B14" i="8"/>
  <c r="B15" i="8"/>
  <c r="B16" i="8"/>
  <c r="B17" i="8"/>
  <c r="N7" i="8"/>
  <c r="K7" i="8"/>
  <c r="I7" i="8"/>
  <c r="G7" i="8"/>
  <c r="E7" i="8"/>
  <c r="B7" i="8"/>
  <c r="K3" i="3"/>
  <c r="K2" i="3"/>
  <c r="V1" i="3"/>
  <c r="B35" i="3"/>
  <c r="B36" i="3"/>
  <c r="B37" i="3"/>
  <c r="V5" i="3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4" i="3"/>
  <c r="V3" i="3"/>
  <c r="V2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M28" i="3"/>
  <c r="M7" i="3"/>
  <c r="G2" i="6"/>
  <c r="C1" i="4"/>
  <c r="J2" i="6"/>
  <c r="D15" i="6"/>
  <c r="D14" i="6"/>
  <c r="D13" i="6"/>
  <c r="D12" i="6"/>
  <c r="D11" i="6"/>
  <c r="D10" i="6"/>
  <c r="D10" i="5"/>
  <c r="D15" i="5"/>
  <c r="D14" i="5"/>
  <c r="D13" i="5"/>
  <c r="D12" i="5"/>
  <c r="D11" i="5"/>
  <c r="T14" i="2"/>
  <c r="T15" i="2"/>
  <c r="T16" i="2"/>
  <c r="T17" i="2"/>
  <c r="T18" i="2"/>
  <c r="T19" i="2"/>
  <c r="T20" i="2"/>
  <c r="T21" i="2"/>
  <c r="T22" i="2"/>
  <c r="T23" i="2"/>
  <c r="T24" i="2"/>
  <c r="T13" i="2"/>
  <c r="T8" i="2"/>
  <c r="T9" i="2"/>
  <c r="T10" i="2"/>
  <c r="T11" i="2"/>
  <c r="T12" i="2"/>
  <c r="T7" i="2"/>
  <c r="T2" i="2"/>
  <c r="T3" i="2"/>
  <c r="T4" i="2"/>
  <c r="T5" i="2"/>
  <c r="T6" i="2"/>
  <c r="T1" i="2"/>
  <c r="M31" i="3" l="1"/>
  <c r="N7" i="3"/>
  <c r="O7" i="3" s="1"/>
  <c r="W6" i="3" s="1"/>
  <c r="M15" i="3"/>
  <c r="M8" i="3"/>
  <c r="V20" i="2"/>
  <c r="V22" i="2"/>
  <c r="N2" i="3"/>
  <c r="O2" i="3" s="1"/>
  <c r="F16" i="2"/>
  <c r="V21" i="2"/>
  <c r="V3" i="2"/>
  <c r="V9" i="2"/>
  <c r="N31" i="3"/>
  <c r="O31" i="3" s="1"/>
  <c r="W30" i="3" s="1"/>
  <c r="M25" i="3"/>
  <c r="W24" i="3" s="1"/>
  <c r="M3" i="2"/>
  <c r="U3" i="2" s="1"/>
  <c r="G3" i="2" s="1"/>
  <c r="U27" i="3"/>
  <c r="X27" i="3" s="1"/>
  <c r="O28" i="3"/>
  <c r="M11" i="3"/>
  <c r="M20" i="3"/>
  <c r="V18" i="2"/>
  <c r="W27" i="3"/>
  <c r="N11" i="3"/>
  <c r="O11" i="3" s="1"/>
  <c r="W10" i="3" s="1"/>
  <c r="W3" i="3"/>
  <c r="W19" i="3"/>
  <c r="X25" i="3"/>
  <c r="X20" i="3"/>
  <c r="F10" i="2"/>
  <c r="M17" i="2"/>
  <c r="N16" i="2"/>
  <c r="O16" i="3"/>
  <c r="M23" i="3"/>
  <c r="M4" i="3"/>
  <c r="M16" i="3"/>
  <c r="V8" i="2"/>
  <c r="V17" i="2"/>
  <c r="V23" i="2"/>
  <c r="V5" i="2"/>
  <c r="M5" i="3"/>
  <c r="W4" i="3" s="1"/>
  <c r="M9" i="3"/>
  <c r="W8" i="3" s="1"/>
  <c r="N26" i="3"/>
  <c r="N23" i="3"/>
  <c r="O23" i="3" s="1"/>
  <c r="W22" i="3" s="1"/>
  <c r="U22" i="2"/>
  <c r="G22" i="2" s="1"/>
  <c r="U23" i="2"/>
  <c r="G23" i="2" s="1"/>
  <c r="M10" i="2"/>
  <c r="N10" i="2" s="1"/>
  <c r="U10" i="2" s="1"/>
  <c r="G10" i="2" s="1"/>
  <c r="F19" i="2"/>
  <c r="S5" i="2"/>
  <c r="F5" i="2" s="1"/>
  <c r="M18" i="2"/>
  <c r="S18" i="2" s="1"/>
  <c r="F18" i="2" s="1"/>
  <c r="M21" i="2"/>
  <c r="N21" i="2" s="1"/>
  <c r="S21" i="2" s="1"/>
  <c r="F21" i="2" s="1"/>
  <c r="N24" i="3"/>
  <c r="M24" i="3"/>
  <c r="M6" i="3"/>
  <c r="U5" i="3" s="1"/>
  <c r="X5" i="3" s="1"/>
  <c r="N6" i="3"/>
  <c r="M29" i="3"/>
  <c r="W28" i="3" s="1"/>
  <c r="N10" i="3"/>
  <c r="W23" i="3"/>
  <c r="U3" i="3"/>
  <c r="O4" i="3"/>
  <c r="X3" i="3"/>
  <c r="U2" i="3"/>
  <c r="X2" i="3" s="1"/>
  <c r="N3" i="3"/>
  <c r="O3" i="3" s="1"/>
  <c r="W2" i="3" s="1"/>
  <c r="U26" i="3"/>
  <c r="X26" i="3" s="1"/>
  <c r="N27" i="3"/>
  <c r="O27" i="3" s="1"/>
  <c r="W26" i="3" s="1"/>
  <c r="M27" i="3"/>
  <c r="M22" i="3"/>
  <c r="U21" i="3" s="1"/>
  <c r="X21" i="3" s="1"/>
  <c r="N22" i="3"/>
  <c r="U6" i="2"/>
  <c r="G6" i="2" s="1"/>
  <c r="N6" i="2"/>
  <c r="X15" i="3"/>
  <c r="N2" i="2"/>
  <c r="N19" i="2"/>
  <c r="V15" i="2"/>
  <c r="V16" i="2"/>
  <c r="V6" i="2"/>
  <c r="V1" i="2"/>
  <c r="V11" i="2"/>
  <c r="X4" i="3"/>
  <c r="M17" i="3"/>
  <c r="W16" i="3" s="1"/>
  <c r="M21" i="3"/>
  <c r="W20" i="3" s="1"/>
  <c r="X1" i="3"/>
  <c r="X9" i="3"/>
  <c r="X13" i="3"/>
  <c r="M8" i="2"/>
  <c r="N8" i="2" s="1"/>
  <c r="U8" i="2" s="1"/>
  <c r="G8" i="2" s="1"/>
  <c r="M11" i="2"/>
  <c r="N11" i="2" s="1"/>
  <c r="U11" i="2" s="1"/>
  <c r="G11" i="2" s="1"/>
  <c r="M1" i="2"/>
  <c r="F7" i="2"/>
  <c r="S6" i="2"/>
  <c r="F6" i="2" s="1"/>
  <c r="F2" i="2"/>
  <c r="U7" i="3"/>
  <c r="X7" i="3" s="1"/>
  <c r="O8" i="3"/>
  <c r="W1" i="3"/>
  <c r="U18" i="3"/>
  <c r="X18" i="3" s="1"/>
  <c r="N19" i="3"/>
  <c r="O19" i="3" s="1"/>
  <c r="W18" i="3" s="1"/>
  <c r="M19" i="3"/>
  <c r="X10" i="3"/>
  <c r="X19" i="3"/>
  <c r="F11" i="2"/>
  <c r="F1" i="2"/>
  <c r="M13" i="2"/>
  <c r="U13" i="2"/>
  <c r="G13" i="2" s="1"/>
  <c r="V13" i="2"/>
  <c r="F20" i="2"/>
  <c r="M12" i="2"/>
  <c r="N12" i="2" s="1"/>
  <c r="U12" i="2" s="1"/>
  <c r="G12" i="2" s="1"/>
  <c r="S12" i="2"/>
  <c r="F12" i="2" s="1"/>
  <c r="U14" i="2"/>
  <c r="G14" i="2" s="1"/>
  <c r="M14" i="2"/>
  <c r="O20" i="3"/>
  <c r="V12" i="2"/>
  <c r="V7" i="2"/>
  <c r="U14" i="3"/>
  <c r="X14" i="3" s="1"/>
  <c r="X8" i="3"/>
  <c r="N14" i="3"/>
  <c r="N12" i="3"/>
  <c r="M12" i="3"/>
  <c r="X28" i="3"/>
  <c r="M18" i="3"/>
  <c r="U17" i="3" s="1"/>
  <c r="X17" i="3" s="1"/>
  <c r="N18" i="3"/>
  <c r="X30" i="3"/>
  <c r="X6" i="3"/>
  <c r="X24" i="3"/>
  <c r="N32" i="3"/>
  <c r="M32" i="3"/>
  <c r="X22" i="3"/>
  <c r="M30" i="3"/>
  <c r="U29" i="3" s="1"/>
  <c r="X29" i="3" s="1"/>
  <c r="N30" i="3"/>
  <c r="M7" i="2"/>
  <c r="N7" i="2" s="1"/>
  <c r="U7" i="2" s="1"/>
  <c r="G7" i="2" s="1"/>
  <c r="F8" i="2"/>
  <c r="M24" i="2"/>
  <c r="N24" i="2" s="1"/>
  <c r="S24" i="2" s="1"/>
  <c r="F24" i="2" s="1"/>
  <c r="U24" i="2"/>
  <c r="G24" i="2" s="1"/>
  <c r="V24" i="2"/>
  <c r="M15" i="2"/>
  <c r="U5" i="2"/>
  <c r="G5" i="2" s="1"/>
  <c r="N5" i="2"/>
  <c r="M4" i="2"/>
  <c r="S4" i="2"/>
  <c r="F4" i="2" s="1"/>
  <c r="V4" i="2"/>
  <c r="X16" i="3"/>
  <c r="F9" i="2"/>
  <c r="F22" i="2"/>
  <c r="F23" i="2"/>
  <c r="F3" i="2"/>
  <c r="C18" i="2"/>
  <c r="D13" i="2"/>
  <c r="C17" i="2"/>
  <c r="D21" i="2"/>
  <c r="C19" i="2"/>
  <c r="D2" i="2"/>
  <c r="B3" i="3"/>
  <c r="C19" i="3"/>
  <c r="B25" i="3"/>
  <c r="C11" i="3"/>
  <c r="C2" i="2"/>
  <c r="D1" i="2"/>
  <c r="D10" i="2"/>
  <c r="C23" i="2"/>
  <c r="C5" i="2"/>
  <c r="D14" i="2"/>
  <c r="D19" i="2"/>
  <c r="D16" i="2"/>
  <c r="B13" i="3"/>
  <c r="C28" i="3"/>
  <c r="D3" i="2"/>
  <c r="D6" i="2"/>
  <c r="B14" i="2"/>
  <c r="B16" i="2"/>
  <c r="D24" i="2"/>
  <c r="D22" i="2"/>
  <c r="B12" i="3"/>
  <c r="D9" i="2"/>
  <c r="C24" i="3"/>
  <c r="D18" i="2"/>
  <c r="B7" i="2"/>
  <c r="B28" i="3"/>
  <c r="B19" i="3"/>
  <c r="D11" i="2"/>
  <c r="D5" i="2"/>
  <c r="B26" i="3"/>
  <c r="B2" i="2"/>
  <c r="D12" i="2"/>
  <c r="C15" i="2"/>
  <c r="C12" i="2"/>
  <c r="C16" i="2"/>
  <c r="D4" i="2"/>
  <c r="B5" i="3"/>
  <c r="D15" i="2"/>
  <c r="D7" i="2"/>
  <c r="B15" i="3"/>
  <c r="D17" i="2"/>
  <c r="B20" i="3"/>
  <c r="D20" i="2"/>
  <c r="D23" i="2"/>
  <c r="D8" i="2"/>
  <c r="N3" i="2" l="1"/>
  <c r="N18" i="2"/>
  <c r="S17" i="2"/>
  <c r="F17" i="2" s="1"/>
  <c r="N17" i="2"/>
  <c r="W25" i="3"/>
  <c r="O26" i="3"/>
  <c r="B36" i="6"/>
  <c r="C21" i="7"/>
  <c r="C21" i="8"/>
  <c r="C15" i="9"/>
  <c r="C14" i="10"/>
  <c r="B24" i="6"/>
  <c r="P10" i="9" s="1"/>
  <c r="U1" i="2"/>
  <c r="G1" i="2" s="1"/>
  <c r="N1" i="2"/>
  <c r="O22" i="3"/>
  <c r="W21" i="3"/>
  <c r="U23" i="3"/>
  <c r="X23" i="3" s="1"/>
  <c r="O24" i="3"/>
  <c r="W9" i="3"/>
  <c r="O10" i="3"/>
  <c r="O6" i="3"/>
  <c r="W5" i="3"/>
  <c r="C30" i="8"/>
  <c r="C30" i="7"/>
  <c r="B40" i="6"/>
  <c r="B28" i="6"/>
  <c r="P12" i="9" s="1"/>
  <c r="C31" i="7"/>
  <c r="C31" i="8"/>
  <c r="C23" i="8"/>
  <c r="C16" i="10"/>
  <c r="C17" i="9"/>
  <c r="C23" i="7"/>
  <c r="B32" i="6"/>
  <c r="B34" i="6"/>
  <c r="B20" i="6"/>
  <c r="P8" i="9" s="1"/>
  <c r="C21" i="6"/>
  <c r="C9" i="9" s="1"/>
  <c r="C21" i="5"/>
  <c r="C8" i="10" s="1"/>
  <c r="B22" i="6"/>
  <c r="P9" i="9" s="1"/>
  <c r="C33" i="8"/>
  <c r="C33" i="7"/>
  <c r="P29" i="8"/>
  <c r="S15" i="2"/>
  <c r="F15" i="2" s="1"/>
  <c r="N15" i="2"/>
  <c r="O30" i="3"/>
  <c r="W29" i="3"/>
  <c r="U31" i="3"/>
  <c r="X31" i="3" s="1"/>
  <c r="O32" i="3"/>
  <c r="O18" i="3"/>
  <c r="W17" i="3"/>
  <c r="O12" i="3"/>
  <c r="U11" i="3"/>
  <c r="X11" i="3" s="1"/>
  <c r="S14" i="2"/>
  <c r="F14" i="2" s="1"/>
  <c r="N14" i="2"/>
  <c r="U4" i="2"/>
  <c r="G4" i="2" s="1"/>
  <c r="N4" i="2"/>
  <c r="W13" i="3"/>
  <c r="O14" i="3"/>
  <c r="S13" i="2"/>
  <c r="F13" i="2" s="1"/>
  <c r="N13" i="2"/>
  <c r="B11" i="3"/>
  <c r="C4" i="2"/>
  <c r="B30" i="3"/>
  <c r="C24" i="2"/>
  <c r="C9" i="3"/>
  <c r="C18" i="3"/>
  <c r="C26" i="3"/>
  <c r="B18" i="3"/>
  <c r="C8" i="2"/>
  <c r="C4" i="3"/>
  <c r="C14" i="3"/>
  <c r="B9" i="3"/>
  <c r="B5" i="2"/>
  <c r="B9" i="2"/>
  <c r="C5" i="3"/>
  <c r="C3" i="2"/>
  <c r="C7" i="2"/>
  <c r="B23" i="2"/>
  <c r="B4" i="3"/>
  <c r="B21" i="2"/>
  <c r="C6" i="3"/>
  <c r="B18" i="2"/>
  <c r="C29" i="3"/>
  <c r="B7" i="3"/>
  <c r="C20" i="2"/>
  <c r="B4" i="2"/>
  <c r="C23" i="3"/>
  <c r="C21" i="2"/>
  <c r="B21" i="3"/>
  <c r="C10" i="2"/>
  <c r="C13" i="3"/>
  <c r="B27" i="3"/>
  <c r="C21" i="3"/>
  <c r="C16" i="3"/>
  <c r="C12" i="3"/>
  <c r="B24" i="2"/>
  <c r="C30" i="3"/>
  <c r="B16" i="3"/>
  <c r="B8" i="2"/>
  <c r="B29" i="3"/>
  <c r="B13" i="2"/>
  <c r="B6" i="3"/>
  <c r="C13" i="2"/>
  <c r="B19" i="2"/>
  <c r="B12" i="2"/>
  <c r="B17" i="3"/>
  <c r="C25" i="3"/>
  <c r="C22" i="3"/>
  <c r="C14" i="2"/>
  <c r="C8" i="3"/>
  <c r="B1" i="3"/>
  <c r="B22" i="3"/>
  <c r="C15" i="3"/>
  <c r="C9" i="2"/>
  <c r="C22" i="2"/>
  <c r="C17" i="3"/>
  <c r="B14" i="3"/>
  <c r="B31" i="3"/>
  <c r="B3" i="2"/>
  <c r="B1" i="2"/>
  <c r="C20" i="3"/>
  <c r="C27" i="3"/>
  <c r="B8" i="3"/>
  <c r="B20" i="2"/>
  <c r="B11" i="2"/>
  <c r="B6" i="2"/>
  <c r="C7" i="3"/>
  <c r="C1" i="3"/>
  <c r="C3" i="3"/>
  <c r="B10" i="3"/>
  <c r="B2" i="3"/>
  <c r="B17" i="2"/>
  <c r="B10" i="2"/>
  <c r="C31" i="3"/>
  <c r="B23" i="3"/>
  <c r="C1" i="2"/>
  <c r="B15" i="2"/>
  <c r="C2" i="3"/>
  <c r="C11" i="2"/>
  <c r="B24" i="3"/>
  <c r="C6" i="2"/>
  <c r="B22" i="2"/>
  <c r="C10" i="3"/>
  <c r="B30" i="6" l="1"/>
  <c r="C29" i="7"/>
  <c r="C29" i="8"/>
  <c r="C24" i="8"/>
  <c r="C18" i="9"/>
  <c r="C17" i="10"/>
  <c r="C24" i="7"/>
  <c r="P36" i="8"/>
  <c r="P27" i="8"/>
  <c r="P21" i="9"/>
  <c r="C35" i="8"/>
  <c r="C35" i="7"/>
  <c r="P16" i="9"/>
  <c r="P22" i="8"/>
  <c r="C36" i="8"/>
  <c r="C36" i="7"/>
  <c r="C33" i="5"/>
  <c r="C33" i="6"/>
  <c r="C27" i="7"/>
  <c r="C27" i="8"/>
  <c r="C20" i="10"/>
  <c r="C21" i="9"/>
  <c r="P32" i="8"/>
  <c r="P33" i="8"/>
  <c r="B26" i="6"/>
  <c r="P11" i="9" s="1"/>
  <c r="C19" i="8"/>
  <c r="C13" i="9"/>
  <c r="C12" i="10"/>
  <c r="C19" i="7"/>
  <c r="P23" i="8"/>
  <c r="P17" i="9"/>
  <c r="P20" i="9"/>
  <c r="P26" i="8"/>
  <c r="C32" i="8"/>
  <c r="C32" i="7"/>
  <c r="P24" i="8"/>
  <c r="P18" i="9"/>
  <c r="P35" i="8"/>
  <c r="C16" i="9"/>
  <c r="C22" i="7"/>
  <c r="C22" i="8"/>
  <c r="C15" i="10"/>
  <c r="C19" i="10"/>
  <c r="C26" i="7"/>
  <c r="C20" i="9"/>
  <c r="C26" i="8"/>
  <c r="C29" i="6"/>
  <c r="C29" i="5"/>
  <c r="C17" i="5"/>
  <c r="C6" i="10" s="1"/>
  <c r="C17" i="6"/>
  <c r="C7" i="9" s="1"/>
  <c r="C25" i="8"/>
  <c r="C25" i="7"/>
  <c r="C19" i="9"/>
  <c r="C18" i="10"/>
  <c r="C25" i="5"/>
  <c r="C10" i="10" s="1"/>
  <c r="C25" i="6"/>
  <c r="C11" i="9" s="1"/>
  <c r="P25" i="8"/>
  <c r="P19" i="9"/>
  <c r="P31" i="8"/>
  <c r="C37" i="6"/>
  <c r="C37" i="5"/>
  <c r="B38" i="6"/>
  <c r="P30" i="8"/>
  <c r="C13" i="10"/>
  <c r="C14" i="9"/>
  <c r="C20" i="7"/>
  <c r="C20" i="8"/>
  <c r="C28" i="7"/>
  <c r="C28" i="8"/>
  <c r="P34" i="8"/>
  <c r="P21" i="8"/>
  <c r="P15" i="9"/>
  <c r="P13" i="9"/>
  <c r="P19" i="8"/>
  <c r="C34" i="8"/>
  <c r="C34" i="7"/>
  <c r="P14" i="9"/>
  <c r="P20" i="8"/>
  <c r="P28" i="8"/>
  <c r="B18" i="6"/>
  <c r="P7" i="9" s="1"/>
</calcChain>
</file>

<file path=xl/sharedStrings.xml><?xml version="1.0" encoding="utf-8"?>
<sst xmlns="http://schemas.openxmlformats.org/spreadsheetml/2006/main" count="414" uniqueCount="146">
  <si>
    <t>Kork</t>
  </si>
  <si>
    <t>Fichtenholz</t>
  </si>
  <si>
    <t>Eichenholz</t>
  </si>
  <si>
    <t>Eis (bei 0 °C)</t>
  </si>
  <si>
    <t>Gummi (Kautschuk)</t>
  </si>
  <si>
    <t>Wasser (bei 0 °C)</t>
  </si>
  <si>
    <t>Steinkohle</t>
  </si>
  <si>
    <t>Magnesium</t>
  </si>
  <si>
    <t>Beton</t>
  </si>
  <si>
    <t>Quarzglas</t>
  </si>
  <si>
    <t>Gips</t>
  </si>
  <si>
    <t>Fensterglas</t>
  </si>
  <si>
    <t>Aluminium</t>
  </si>
  <si>
    <t>Granit</t>
  </si>
  <si>
    <t>Zement</t>
  </si>
  <si>
    <t>Titan</t>
  </si>
  <si>
    <t>Zink</t>
  </si>
  <si>
    <t>Chrom</t>
  </si>
  <si>
    <t>Gusseisen</t>
  </si>
  <si>
    <t>Zinn</t>
  </si>
  <si>
    <t>Eisenstahl</t>
  </si>
  <si>
    <t>Stahl unlegiert</t>
  </si>
  <si>
    <t>Stahl legiert</t>
  </si>
  <si>
    <t>Messing</t>
  </si>
  <si>
    <t>Nickel</t>
  </si>
  <si>
    <t>Kupfer</t>
  </si>
  <si>
    <t>Silber</t>
  </si>
  <si>
    <t>Blei</t>
  </si>
  <si>
    <t>Uran</t>
  </si>
  <si>
    <t>Gold</t>
  </si>
  <si>
    <t>Platin</t>
  </si>
  <si>
    <t xml:space="preserve">Kohlenstoff </t>
  </si>
  <si>
    <t>Eisen</t>
  </si>
  <si>
    <t>Diamant</t>
  </si>
  <si>
    <t>Plexiglas</t>
  </si>
  <si>
    <t>Quecksilber (bei 0 °C)</t>
  </si>
  <si>
    <t>Schwefel</t>
  </si>
  <si>
    <t>Material:</t>
  </si>
  <si>
    <r>
      <t>Dichte g/cm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</si>
  <si>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Papier Büroqualität</t>
  </si>
  <si>
    <t>Menge kg</t>
  </si>
  <si>
    <r>
      <t>Volumen m</t>
    </r>
    <r>
      <rPr>
        <b/>
        <sz val="11"/>
        <color theme="1"/>
        <rFont val="Calibri"/>
        <family val="2"/>
      </rPr>
      <t>³</t>
    </r>
  </si>
  <si>
    <r>
      <t>Dichte g/cm</t>
    </r>
    <r>
      <rPr>
        <b/>
        <vertAlign val="superscript"/>
        <sz val="11"/>
        <color theme="1"/>
        <rFont val="Calibri"/>
        <family val="2"/>
      </rPr>
      <t>³</t>
    </r>
  </si>
  <si>
    <r>
      <t>Volumen dm</t>
    </r>
    <r>
      <rPr>
        <b/>
        <sz val="11"/>
        <color theme="1"/>
        <rFont val="Calibri"/>
        <family val="2"/>
      </rPr>
      <t>³</t>
    </r>
  </si>
  <si>
    <t>Ein Händler bestellt</t>
  </si>
  <si>
    <t>Ein Händler kauft</t>
  </si>
  <si>
    <t>Eine Firma kauft</t>
  </si>
  <si>
    <t>Eine Firma bestellt</t>
  </si>
  <si>
    <r>
      <t>Wie gross ist das Volumen in cm</t>
    </r>
    <r>
      <rPr>
        <sz val="11"/>
        <color theme="1"/>
        <rFont val="Calibri"/>
        <family val="2"/>
      </rPr>
      <t>³?</t>
    </r>
  </si>
  <si>
    <t>Wie gross ist das Volumen in dm³?</t>
  </si>
  <si>
    <t>Diamanten</t>
  </si>
  <si>
    <t>Wie viel wiegt das?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</si>
  <si>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</si>
  <si>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</si>
  <si>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</si>
  <si>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</si>
  <si>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</si>
  <si>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</si>
  <si>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</si>
  <si>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</si>
  <si>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</si>
  <si>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</si>
  <si>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</si>
  <si>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</si>
  <si>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</si>
  <si>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</si>
  <si>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</si>
  <si>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</si>
  <si>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</si>
  <si>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</si>
  <si>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</si>
  <si>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</si>
  <si>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</si>
  <si>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</si>
  <si>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</si>
  <si>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</si>
  <si>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Preis pro 125 kg</t>
  </si>
  <si>
    <t>Preis pro kg</t>
  </si>
  <si>
    <t>Preis pro Unze</t>
  </si>
  <si>
    <t xml:space="preserve">Folgende Kosten kannst du in die Berechnung nehmen. </t>
  </si>
  <si>
    <t>pro Gramm</t>
  </si>
  <si>
    <t>pro Unze (31,1 g)</t>
  </si>
  <si>
    <t>pro 125 kg</t>
  </si>
  <si>
    <t>pro Kg</t>
  </si>
  <si>
    <r>
      <t>g/cm</t>
    </r>
    <r>
      <rPr>
        <sz val="11"/>
        <color theme="1"/>
        <rFont val="Calibri"/>
        <family val="2"/>
      </rPr>
      <t>³</t>
    </r>
  </si>
  <si>
    <t>g/cm³</t>
  </si>
  <si>
    <t>Preis:</t>
  </si>
  <si>
    <t>Dichte:</t>
  </si>
  <si>
    <t>1 a</t>
  </si>
  <si>
    <t>1 b</t>
  </si>
  <si>
    <t>Wie viel kostet das?</t>
  </si>
  <si>
    <t>2 a</t>
  </si>
  <si>
    <t>2 b</t>
  </si>
  <si>
    <t>3 a</t>
  </si>
  <si>
    <t>3 b</t>
  </si>
  <si>
    <t>4 a</t>
  </si>
  <si>
    <t>4 b</t>
  </si>
  <si>
    <t>5 a</t>
  </si>
  <si>
    <t>5 b</t>
  </si>
  <si>
    <t>6 a</t>
  </si>
  <si>
    <t>6 b</t>
  </si>
  <si>
    <t xml:space="preserve">Serie: </t>
  </si>
  <si>
    <t>Berechne die gesuchten Angaben anhand der beiden Tabellen.</t>
  </si>
  <si>
    <t>Der Preis ist kein aktueller Tagespreis. Die Kosten für Uran und auch Diamanten sind eher theoretisch und können sich je nach Beschaffenheit stark ändern.</t>
  </si>
  <si>
    <t>Dichte und Preis</t>
  </si>
  <si>
    <t>Lernziele:</t>
  </si>
  <si>
    <t>Du verstehst Masse und kannst diese auch anwenden und umrechnen</t>
  </si>
  <si>
    <t>3A1i</t>
  </si>
  <si>
    <t>3C3</t>
  </si>
  <si>
    <t>Du kannst Terme, Formeln, Gleichungen und Tabellen mit Sachsituationen konkretisieren.</t>
  </si>
  <si>
    <t>Name:</t>
  </si>
  <si>
    <t>pro Karat (0.2 Gramm)</t>
  </si>
  <si>
    <t>Tagespreis für</t>
  </si>
  <si>
    <t>pro Karat</t>
  </si>
  <si>
    <t>pro Unze</t>
  </si>
  <si>
    <t>pro 250 Pfund</t>
  </si>
  <si>
    <t>Internet</t>
  </si>
  <si>
    <t>Der Preis ist ein angenäherter Tagespreis. Die Kosten für Uran und auch Diamanten sind eher theoretisch und können sich je nach Beschaffenheit stark ändern.</t>
  </si>
  <si>
    <t>Hier hat der Lehrer die Möglichkeit, den Tagespreis einzugeben. Klicke auf den Link, dann öffnet sich eine entsprechende Internetseite!</t>
  </si>
  <si>
    <t>Dichte kg/dm³</t>
  </si>
  <si>
    <t>Menge t</t>
  </si>
  <si>
    <r>
      <t>Wie gross ist das Volumen in dm</t>
    </r>
    <r>
      <rPr>
        <sz val="11"/>
        <color theme="1"/>
        <rFont val="Calibri"/>
        <family val="2"/>
      </rPr>
      <t>³?</t>
    </r>
  </si>
  <si>
    <t>Wie gross ist das Volumen in m³?</t>
  </si>
  <si>
    <t>Wie viele Kilogramm sind das?</t>
  </si>
  <si>
    <t>Wie viele Tonnen sind das?</t>
  </si>
  <si>
    <t>Quecksilber</t>
  </si>
  <si>
    <t>Eis</t>
  </si>
  <si>
    <r>
      <t xml:space="preserve">Dichte, </t>
    </r>
    <r>
      <rPr>
        <b/>
        <sz val="10"/>
        <color theme="0"/>
        <rFont val="Calibri"/>
        <family val="2"/>
        <scheme val="minor"/>
      </rPr>
      <t>Volumen und Gewicht</t>
    </r>
  </si>
  <si>
    <t>Berechne die gesuchten Angaben anhand der Tabellen.</t>
  </si>
  <si>
    <t>Dichte g/cm³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</si>
  <si>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</si>
  <si>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</si>
  <si>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</si>
  <si>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</si>
  <si>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</si>
  <si>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</si>
  <si>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</si>
  <si>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</si>
  <si>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</si>
  <si>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A</t>
  </si>
  <si>
    <t>Tagespreis im "AB kostbar" eingeben!</t>
  </si>
  <si>
    <r>
      <t xml:space="preserve">Test Dichte, </t>
    </r>
    <r>
      <rPr>
        <b/>
        <sz val="10"/>
        <color theme="0"/>
        <rFont val="Calibri"/>
        <family val="2"/>
        <scheme val="minor"/>
      </rPr>
      <t>Volumen und Gewicht, Preis</t>
    </r>
  </si>
  <si>
    <t>Pte:</t>
  </si>
  <si>
    <t>Note:</t>
  </si>
  <si>
    <t xml:space="preserve">       /15</t>
  </si>
  <si>
    <t>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</si>
</sst>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Fr.&quot;\ #,##0.00"/>
    <numFmt numFmtId="165" formatCode="0.000"/>
  </numFmts>
  <fonts count="2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44">
    <xf numFmtId="0" fontId="0" fillId="0" borderId="0" xfId="0"/>
    <xf numFmtId="0" fontId="0" fillId="0" borderId="0" xfId="0" applyAlignment="1">
      <alignment wrapText="1"/>
    </xf>
    <xf numFmtId="0" fontId="4" fillId="0" borderId="0" xfId="1" applyAlignment="1">
      <alignment vertical="top" wrapText="1"/>
    </xf>
    <xf numFmtId="0" fontId="0" fillId="0" borderId="0" xfId="0" applyAlignment="1">
      <alignment horizontal="righ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4" fillId="0" borderId="0" xfId="1" applyAlignment="1">
      <alignment horizontal="left" vertical="top" wrapText="1"/>
    </xf>
    <xf numFmtId="49" fontId="0" fillId="0" borderId="0" xfId="0" applyNumberFormat="1" applyAlignment="1">
      <alignment horizontal="left" vertical="top"/>
    </xf>
    <xf numFmtId="0" fontId="2" fillId="0" borderId="0" xfId="0" applyNumberFormat="1" applyFont="1" applyAlignment="1">
      <alignment horizontal="left" vertical="top"/>
    </xf>
    <xf numFmtId="164" fontId="0" fillId="0" borderId="0" xfId="0" applyNumberFormat="1"/>
    <xf numFmtId="164" fontId="0" fillId="0" borderId="0" xfId="0" applyNumberFormat="1" applyAlignment="1">
      <alignment horizontal="left" vertical="top"/>
    </xf>
    <xf numFmtId="164" fontId="0" fillId="2" borderId="0" xfId="0" applyNumberFormat="1" applyFill="1" applyProtection="1">
      <protection locked="0"/>
    </xf>
    <xf numFmtId="0" fontId="10" fillId="0" borderId="0" xfId="0" applyFont="1"/>
    <xf numFmtId="0" fontId="0" fillId="0" borderId="3" xfId="0" applyBorder="1"/>
    <xf numFmtId="0" fontId="10" fillId="3" borderId="1" xfId="0" applyFont="1" applyFill="1" applyBorder="1"/>
    <xf numFmtId="0" fontId="10" fillId="3" borderId="4" xfId="0" applyFont="1" applyFill="1" applyBorder="1"/>
    <xf numFmtId="164" fontId="0" fillId="3" borderId="0" xfId="0" applyNumberFormat="1" applyFill="1" applyBorder="1" applyAlignment="1">
      <alignment horizontal="left"/>
    </xf>
    <xf numFmtId="0" fontId="9" fillId="3" borderId="0" xfId="0" applyFont="1" applyFill="1" applyBorder="1"/>
    <xf numFmtId="0" fontId="0" fillId="3" borderId="5" xfId="0" applyFill="1" applyBorder="1"/>
    <xf numFmtId="0" fontId="10" fillId="3" borderId="6" xfId="0" applyFont="1" applyFill="1" applyBorder="1"/>
    <xf numFmtId="164" fontId="0" fillId="3" borderId="7" xfId="0" applyNumberFormat="1" applyFill="1" applyBorder="1" applyAlignment="1">
      <alignment horizontal="left"/>
    </xf>
    <xf numFmtId="0" fontId="9" fillId="3" borderId="7" xfId="0" applyFont="1" applyFill="1" applyBorder="1"/>
    <xf numFmtId="0" fontId="0" fillId="3" borderId="8" xfId="0" applyFill="1" applyBorder="1"/>
    <xf numFmtId="0" fontId="10" fillId="4" borderId="4" xfId="0" applyFont="1" applyFill="1" applyBorder="1" applyAlignment="1">
      <alignment horizontal="left"/>
    </xf>
    <xf numFmtId="0" fontId="0" fillId="4" borderId="0" xfId="0" applyFill="1" applyBorder="1" applyAlignment="1">
      <alignment horizontal="left" vertical="top" wrapText="1"/>
    </xf>
    <xf numFmtId="0" fontId="0" fillId="4" borderId="5" xfId="0" applyFill="1" applyBorder="1"/>
    <xf numFmtId="0" fontId="10" fillId="4" borderId="6" xfId="0" applyFont="1" applyFill="1" applyBorder="1" applyAlignment="1">
      <alignment horizontal="left"/>
    </xf>
    <xf numFmtId="0" fontId="0" fillId="4" borderId="7" xfId="0" applyFill="1" applyBorder="1" applyAlignment="1">
      <alignment horizontal="left" vertical="top" wrapText="1"/>
    </xf>
    <xf numFmtId="0" fontId="0" fillId="4" borderId="8" xfId="0" applyFill="1" applyBorder="1"/>
    <xf numFmtId="0" fontId="10" fillId="0" borderId="0" xfId="0" applyFont="1" applyBorder="1"/>
    <xf numFmtId="0" fontId="10" fillId="3" borderId="0" xfId="0" applyFont="1" applyFill="1" applyBorder="1"/>
    <xf numFmtId="0" fontId="0" fillId="0" borderId="0" xfId="0" applyBorder="1"/>
    <xf numFmtId="0" fontId="10" fillId="4" borderId="1" xfId="0" applyFont="1" applyFill="1" applyBorder="1"/>
    <xf numFmtId="0" fontId="10" fillId="4" borderId="2" xfId="0" applyFont="1" applyFill="1" applyBorder="1"/>
    <xf numFmtId="0" fontId="10" fillId="4" borderId="3" xfId="0" applyFont="1" applyFill="1" applyBorder="1"/>
    <xf numFmtId="0" fontId="10" fillId="4" borderId="4" xfId="0" applyFont="1" applyFill="1" applyBorder="1" applyAlignment="1">
      <alignment horizontal="left" vertical="top" wrapText="1"/>
    </xf>
    <xf numFmtId="0" fontId="10" fillId="3" borderId="2" xfId="0" applyFont="1" applyFill="1" applyBorder="1"/>
    <xf numFmtId="0" fontId="10" fillId="3" borderId="3" xfId="0" applyFont="1" applyFill="1" applyBorder="1"/>
    <xf numFmtId="0" fontId="11" fillId="0" borderId="0" xfId="0" applyFont="1"/>
    <xf numFmtId="0" fontId="10" fillId="3" borderId="7" xfId="0" applyFont="1" applyFill="1" applyBorder="1"/>
    <xf numFmtId="49" fontId="11" fillId="5" borderId="0" xfId="0" applyNumberFormat="1" applyFont="1" applyFill="1"/>
    <xf numFmtId="0" fontId="0" fillId="0" borderId="2" xfId="0" applyBorder="1"/>
    <xf numFmtId="0" fontId="1" fillId="6" borderId="10" xfId="0" applyFont="1" applyFill="1" applyBorder="1" applyAlignment="1">
      <alignment vertical="center"/>
    </xf>
    <xf numFmtId="0" fontId="1" fillId="6" borderId="10" xfId="0" applyFont="1" applyFill="1" applyBorder="1" applyAlignment="1">
      <alignment horizontal="right" vertical="center"/>
    </xf>
    <xf numFmtId="0" fontId="4" fillId="0" borderId="0" xfId="1"/>
    <xf numFmtId="0" fontId="10" fillId="0" borderId="2" xfId="0" applyFont="1" applyBorder="1"/>
    <xf numFmtId="0" fontId="10" fillId="0" borderId="3" xfId="0" applyFont="1" applyBorder="1"/>
    <xf numFmtId="0" fontId="2" fillId="0" borderId="4" xfId="0" applyFont="1" applyBorder="1"/>
    <xf numFmtId="0" fontId="2" fillId="0" borderId="6" xfId="0" applyFont="1" applyBorder="1"/>
    <xf numFmtId="0" fontId="0" fillId="0" borderId="7" xfId="0" applyBorder="1"/>
    <xf numFmtId="164" fontId="0" fillId="7" borderId="0" xfId="0" applyNumberFormat="1" applyFill="1" applyBorder="1" applyAlignment="1" applyProtection="1">
      <alignment horizontal="left"/>
      <protection locked="0"/>
    </xf>
    <xf numFmtId="164" fontId="0" fillId="7" borderId="7" xfId="0" applyNumberFormat="1" applyFill="1" applyBorder="1" applyAlignment="1" applyProtection="1">
      <alignment horizontal="left"/>
      <protection locked="0"/>
    </xf>
    <xf numFmtId="0" fontId="4" fillId="0" borderId="5" xfId="1" applyBorder="1" applyProtection="1">
      <protection locked="0"/>
    </xf>
    <xf numFmtId="0" fontId="4" fillId="0" borderId="8" xfId="1" applyBorder="1" applyProtection="1">
      <protection locked="0"/>
    </xf>
    <xf numFmtId="0" fontId="1" fillId="6" borderId="11" xfId="0" applyFont="1" applyFill="1" applyBorder="1" applyAlignment="1" applyProtection="1">
      <alignment horizontal="left" vertical="center"/>
      <protection locked="0"/>
    </xf>
    <xf numFmtId="0" fontId="1" fillId="6" borderId="10" xfId="0" applyFont="1" applyFill="1" applyBorder="1" applyAlignment="1" applyProtection="1">
      <alignment vertical="center"/>
    </xf>
    <xf numFmtId="0" fontId="1" fillId="6" borderId="10" xfId="0" applyFont="1" applyFill="1" applyBorder="1" applyAlignment="1" applyProtection="1">
      <alignment horizontal="right" vertical="center"/>
    </xf>
    <xf numFmtId="0" fontId="1" fillId="6" borderId="11" xfId="0" applyFont="1" applyFill="1" applyBorder="1" applyAlignment="1" applyProtection="1">
      <alignment horizontal="left" vertical="center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left" wrapText="1"/>
    </xf>
    <xf numFmtId="0" fontId="10" fillId="3" borderId="1" xfId="0" applyFont="1" applyFill="1" applyBorder="1" applyProtection="1"/>
    <xf numFmtId="0" fontId="10" fillId="3" borderId="2" xfId="0" applyFont="1" applyFill="1" applyBorder="1" applyProtection="1"/>
    <xf numFmtId="0" fontId="10" fillId="3" borderId="3" xfId="0" applyFont="1" applyFill="1" applyBorder="1" applyProtection="1"/>
    <xf numFmtId="0" fontId="10" fillId="0" borderId="0" xfId="0" applyFont="1" applyBorder="1" applyProtection="1"/>
    <xf numFmtId="0" fontId="10" fillId="4" borderId="1" xfId="0" applyFont="1" applyFill="1" applyBorder="1" applyProtection="1"/>
    <xf numFmtId="0" fontId="10" fillId="4" borderId="2" xfId="0" applyFont="1" applyFill="1" applyBorder="1" applyProtection="1"/>
    <xf numFmtId="0" fontId="10" fillId="4" borderId="3" xfId="0" applyFont="1" applyFill="1" applyBorder="1" applyProtection="1"/>
    <xf numFmtId="0" fontId="10" fillId="0" borderId="0" xfId="0" applyFont="1" applyProtection="1"/>
    <xf numFmtId="0" fontId="10" fillId="3" borderId="4" xfId="0" applyFont="1" applyFill="1" applyBorder="1" applyProtection="1"/>
    <xf numFmtId="0" fontId="10" fillId="3" borderId="0" xfId="0" applyFont="1" applyFill="1" applyBorder="1" applyProtection="1"/>
    <xf numFmtId="164" fontId="0" fillId="3" borderId="0" xfId="0" applyNumberFormat="1" applyFill="1" applyBorder="1" applyAlignment="1" applyProtection="1">
      <alignment horizontal="left"/>
    </xf>
    <xf numFmtId="0" fontId="9" fillId="3" borderId="0" xfId="0" applyFont="1" applyFill="1" applyBorder="1" applyProtection="1"/>
    <xf numFmtId="0" fontId="0" fillId="3" borderId="5" xfId="0" applyFill="1" applyBorder="1" applyProtection="1"/>
    <xf numFmtId="0" fontId="0" fillId="0" borderId="0" xfId="0" applyBorder="1" applyProtection="1"/>
    <xf numFmtId="0" fontId="10" fillId="4" borderId="4" xfId="0" applyFont="1" applyFill="1" applyBorder="1" applyAlignment="1" applyProtection="1">
      <alignment horizontal="left" vertical="top" wrapText="1"/>
    </xf>
    <xf numFmtId="0" fontId="0" fillId="4" borderId="0" xfId="0" applyFill="1" applyBorder="1" applyAlignment="1" applyProtection="1">
      <alignment horizontal="left" vertical="top" wrapText="1"/>
    </xf>
    <xf numFmtId="0" fontId="0" fillId="4" borderId="5" xfId="0" applyFill="1" applyBorder="1" applyProtection="1"/>
    <xf numFmtId="0" fontId="10" fillId="4" borderId="4" xfId="0" applyFont="1" applyFill="1" applyBorder="1" applyAlignment="1" applyProtection="1">
      <alignment horizontal="left"/>
    </xf>
    <xf numFmtId="0" fontId="10" fillId="3" borderId="6" xfId="0" applyFont="1" applyFill="1" applyBorder="1" applyProtection="1"/>
    <xf numFmtId="0" fontId="10" fillId="3" borderId="7" xfId="0" applyFont="1" applyFill="1" applyBorder="1" applyProtection="1"/>
    <xf numFmtId="164" fontId="0" fillId="3" borderId="7" xfId="0" applyNumberFormat="1" applyFill="1" applyBorder="1" applyAlignment="1" applyProtection="1">
      <alignment horizontal="left"/>
    </xf>
    <xf numFmtId="0" fontId="9" fillId="3" borderId="7" xfId="0" applyFont="1" applyFill="1" applyBorder="1" applyProtection="1"/>
    <xf numFmtId="0" fontId="0" fillId="3" borderId="8" xfId="0" applyFill="1" applyBorder="1" applyProtection="1"/>
    <xf numFmtId="0" fontId="10" fillId="4" borderId="6" xfId="0" applyFont="1" applyFill="1" applyBorder="1" applyAlignment="1" applyProtection="1">
      <alignment horizontal="left"/>
    </xf>
    <xf numFmtId="0" fontId="0" fillId="4" borderId="7" xfId="0" applyFill="1" applyBorder="1" applyAlignment="1" applyProtection="1">
      <alignment horizontal="left" vertical="top" wrapText="1"/>
    </xf>
    <xf numFmtId="0" fontId="0" fillId="4" borderId="8" xfId="0" applyFill="1" applyBorder="1" applyProtection="1"/>
    <xf numFmtId="49" fontId="11" fillId="5" borderId="0" xfId="0" applyNumberFormat="1" applyFont="1" applyFill="1" applyProtection="1"/>
    <xf numFmtId="0" fontId="11" fillId="0" borderId="0" xfId="0" applyFont="1" applyProtection="1"/>
    <xf numFmtId="0" fontId="0" fillId="0" borderId="2" xfId="0" applyBorder="1" applyProtection="1"/>
    <xf numFmtId="0" fontId="0" fillId="0" borderId="3" xfId="0" applyBorder="1" applyProtection="1"/>
    <xf numFmtId="0" fontId="14" fillId="6" borderId="9" xfId="0" applyFont="1" applyFill="1" applyBorder="1" applyAlignment="1">
      <alignment vertical="center"/>
    </xf>
    <xf numFmtId="0" fontId="14" fillId="6" borderId="10" xfId="0" applyFont="1" applyFill="1" applyBorder="1" applyAlignment="1">
      <alignment vertical="center"/>
    </xf>
    <xf numFmtId="0" fontId="12" fillId="0" borderId="1" xfId="0" applyFont="1" applyBorder="1" applyAlignment="1"/>
    <xf numFmtId="0" fontId="12" fillId="0" borderId="2" xfId="0" applyFont="1" applyBorder="1" applyAlignment="1"/>
    <xf numFmtId="0" fontId="13" fillId="6" borderId="4" xfId="0" applyFont="1" applyFill="1" applyBorder="1" applyAlignment="1"/>
    <xf numFmtId="0" fontId="13" fillId="6" borderId="0" xfId="0" applyFont="1" applyFill="1" applyBorder="1" applyAlignment="1"/>
    <xf numFmtId="0" fontId="13" fillId="4" borderId="0" xfId="0" applyFont="1" applyFill="1" applyBorder="1" applyAlignment="1"/>
    <xf numFmtId="0" fontId="13" fillId="6" borderId="6" xfId="0" applyFont="1" applyFill="1" applyBorder="1" applyAlignment="1"/>
    <xf numFmtId="0" fontId="13" fillId="6" borderId="7" xfId="0" applyFont="1" applyFill="1" applyBorder="1" applyAlignment="1"/>
    <xf numFmtId="0" fontId="13" fillId="4" borderId="7" xfId="0" applyFont="1" applyFill="1" applyBorder="1" applyAlignment="1"/>
    <xf numFmtId="0" fontId="10" fillId="0" borderId="0" xfId="0" applyFont="1" applyFill="1" applyBorder="1"/>
    <xf numFmtId="0" fontId="0" fillId="0" borderId="5" xfId="0" applyFill="1" applyBorder="1" applyAlignment="1">
      <alignment vertical="top"/>
    </xf>
    <xf numFmtId="0" fontId="0" fillId="0" borderId="0" xfId="0" applyFill="1" applyBorder="1" applyAlignment="1">
      <alignment vertical="top"/>
    </xf>
    <xf numFmtId="0" fontId="0" fillId="0" borderId="0" xfId="0" applyBorder="1" applyAlignment="1">
      <alignment vertical="top"/>
    </xf>
    <xf numFmtId="165" fontId="14" fillId="6" borderId="10" xfId="0" applyNumberFormat="1" applyFont="1" applyFill="1" applyBorder="1" applyAlignment="1">
      <alignment horizontal="left" vertical="center"/>
    </xf>
    <xf numFmtId="165" fontId="0" fillId="0" borderId="0" xfId="0" applyNumberFormat="1" applyAlignment="1">
      <alignment horizontal="left"/>
    </xf>
    <xf numFmtId="165" fontId="0" fillId="0" borderId="2" xfId="0" applyNumberFormat="1" applyBorder="1" applyAlignment="1">
      <alignment horizontal="left"/>
    </xf>
    <xf numFmtId="165" fontId="13" fillId="4" borderId="0" xfId="0" applyNumberFormat="1" applyFont="1" applyFill="1" applyBorder="1" applyAlignment="1">
      <alignment horizontal="left"/>
    </xf>
    <xf numFmtId="165" fontId="13" fillId="4" borderId="7" xfId="0" applyNumberFormat="1" applyFont="1" applyFill="1" applyBorder="1" applyAlignment="1">
      <alignment horizontal="left"/>
    </xf>
    <xf numFmtId="164" fontId="0" fillId="0" borderId="0" xfId="0" applyNumberFormat="1" applyFill="1" applyBorder="1" applyAlignment="1" applyProtection="1">
      <alignment horizontal="left" vertical="top"/>
      <protection locked="0"/>
    </xf>
    <xf numFmtId="0" fontId="11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/>
    </xf>
    <xf numFmtId="0" fontId="4" fillId="0" borderId="0" xfId="1" applyFill="1" applyBorder="1" applyAlignment="1" applyProtection="1">
      <alignment vertical="top"/>
      <protection locked="0"/>
    </xf>
    <xf numFmtId="0" fontId="4" fillId="0" borderId="0" xfId="1" applyFill="1" applyBorder="1" applyAlignment="1">
      <alignment vertical="top"/>
    </xf>
    <xf numFmtId="0" fontId="0" fillId="0" borderId="0" xfId="0" applyBorder="1" applyAlignment="1" applyProtection="1">
      <protection locked="0"/>
    </xf>
    <xf numFmtId="0" fontId="11" fillId="5" borderId="0" xfId="0" applyFont="1" applyFill="1" applyBorder="1" applyAlignment="1"/>
    <xf numFmtId="0" fontId="16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0" fontId="16" fillId="0" borderId="0" xfId="0" applyFont="1" applyFill="1" applyBorder="1" applyAlignment="1">
      <alignment vertical="top" wrapText="1"/>
    </xf>
    <xf numFmtId="49" fontId="2" fillId="0" borderId="0" xfId="0" applyNumberFormat="1" applyFont="1" applyAlignment="1">
      <alignment vertical="top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horizontal="left"/>
    </xf>
    <xf numFmtId="0" fontId="0" fillId="0" borderId="5" xfId="0" applyBorder="1"/>
    <xf numFmtId="0" fontId="0" fillId="6" borderId="10" xfId="0" applyFill="1" applyBorder="1" applyAlignment="1">
      <alignment vertical="center"/>
    </xf>
    <xf numFmtId="0" fontId="0" fillId="0" borderId="4" xfId="0" applyBorder="1"/>
    <xf numFmtId="0" fontId="2" fillId="0" borderId="0" xfId="0" applyFont="1" applyBorder="1" applyAlignment="1">
      <alignment wrapText="1"/>
    </xf>
    <xf numFmtId="0" fontId="10" fillId="0" borderId="5" xfId="0" applyFont="1" applyFill="1" applyBorder="1"/>
    <xf numFmtId="0" fontId="0" fillId="0" borderId="4" xfId="0" applyBorder="1" applyAlignment="1">
      <alignment vertical="top"/>
    </xf>
    <xf numFmtId="0" fontId="0" fillId="0" borderId="4" xfId="0" applyBorder="1" applyAlignment="1" applyProtection="1">
      <protection locked="0"/>
    </xf>
    <xf numFmtId="165" fontId="0" fillId="0" borderId="0" xfId="0" applyNumberFormat="1" applyBorder="1" applyAlignment="1" applyProtection="1">
      <alignment horizontal="left"/>
      <protection locked="0"/>
    </xf>
    <xf numFmtId="0" fontId="0" fillId="4" borderId="0" xfId="0" applyFill="1" applyBorder="1"/>
    <xf numFmtId="0" fontId="0" fillId="4" borderId="7" xfId="0" applyFill="1" applyBorder="1"/>
    <xf numFmtId="0" fontId="16" fillId="5" borderId="0" xfId="0" applyFont="1" applyFill="1" applyBorder="1" applyAlignment="1"/>
    <xf numFmtId="165" fontId="16" fillId="5" borderId="0" xfId="0" applyNumberFormat="1" applyFont="1" applyFill="1" applyBorder="1" applyAlignment="1">
      <alignment horizontal="left" wrapText="1"/>
    </xf>
    <xf numFmtId="0" fontId="0" fillId="5" borderId="0" xfId="0" applyFill="1" applyBorder="1" applyAlignment="1"/>
    <xf numFmtId="165" fontId="16" fillId="5" borderId="5" xfId="0" applyNumberFormat="1" applyFont="1" applyFill="1" applyBorder="1" applyAlignment="1">
      <alignment horizontal="left" wrapText="1"/>
    </xf>
    <xf numFmtId="0" fontId="16" fillId="5" borderId="0" xfId="0" applyFont="1" applyFill="1" applyBorder="1" applyAlignment="1">
      <alignment wrapText="1"/>
    </xf>
    <xf numFmtId="0" fontId="0" fillId="5" borderId="0" xfId="0" applyFill="1" applyBorder="1" applyAlignment="1" applyProtection="1">
      <protection locked="0"/>
    </xf>
    <xf numFmtId="0" fontId="0" fillId="5" borderId="4" xfId="0" applyFill="1" applyBorder="1" applyAlignment="1"/>
    <xf numFmtId="0" fontId="0" fillId="5" borderId="5" xfId="0" applyFill="1" applyBorder="1" applyAlignment="1"/>
    <xf numFmtId="0" fontId="16" fillId="5" borderId="7" xfId="0" applyFont="1" applyFill="1" applyBorder="1" applyAlignment="1"/>
    <xf numFmtId="165" fontId="16" fillId="5" borderId="7" xfId="0" applyNumberFormat="1" applyFont="1" applyFill="1" applyBorder="1" applyAlignment="1">
      <alignment horizontal="left" wrapText="1"/>
    </xf>
    <xf numFmtId="0" fontId="0" fillId="5" borderId="6" xfId="0" applyFill="1" applyBorder="1" applyAlignment="1"/>
    <xf numFmtId="0" fontId="0" fillId="5" borderId="7" xfId="0" applyFill="1" applyBorder="1" applyAlignment="1" applyProtection="1">
      <protection locked="0"/>
    </xf>
    <xf numFmtId="0" fontId="0" fillId="5" borderId="8" xfId="0" applyFill="1" applyBorder="1" applyAlignment="1"/>
    <xf numFmtId="0" fontId="16" fillId="0" borderId="0" xfId="0" applyFont="1" applyFill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165" fontId="16" fillId="5" borderId="8" xfId="0" applyNumberFormat="1" applyFont="1" applyFill="1" applyBorder="1" applyAlignment="1">
      <alignment horizontal="left" wrapText="1"/>
    </xf>
    <xf numFmtId="0" fontId="18" fillId="0" borderId="4" xfId="0" applyNumberFormat="1" applyFont="1" applyFill="1" applyBorder="1" applyAlignment="1">
      <alignment vertical="center"/>
    </xf>
    <xf numFmtId="0" fontId="18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3" borderId="0" xfId="0" applyFill="1" applyBorder="1"/>
    <xf numFmtId="0" fontId="0" fillId="3" borderId="5" xfId="0" applyFill="1" applyBorder="1" applyAlignment="1">
      <alignment vertical="center"/>
    </xf>
    <xf numFmtId="0" fontId="0" fillId="3" borderId="7" xfId="0" applyFill="1" applyBorder="1"/>
    <xf numFmtId="0" fontId="0" fillId="3" borderId="8" xfId="0" applyFill="1" applyBorder="1" applyAlignment="1">
      <alignment vertical="center"/>
    </xf>
    <xf numFmtId="0" fontId="2" fillId="0" borderId="0" xfId="0" applyFont="1" applyBorder="1"/>
    <xf numFmtId="0" fontId="4" fillId="0" borderId="0" xfId="1" applyBorder="1" applyProtection="1">
      <protection locked="0"/>
    </xf>
    <xf numFmtId="164" fontId="0" fillId="0" borderId="0" xfId="0" applyNumberFormat="1" applyFill="1" applyBorder="1" applyAlignment="1" applyProtection="1">
      <alignment horizontal="left"/>
      <protection locked="0"/>
    </xf>
    <xf numFmtId="164" fontId="0" fillId="0" borderId="0" xfId="0" applyNumberFormat="1" applyFill="1" applyBorder="1" applyAlignment="1" applyProtection="1">
      <alignment horizontal="left" vertical="center"/>
      <protection locked="0"/>
    </xf>
    <xf numFmtId="0" fontId="4" fillId="0" borderId="0" xfId="1" applyFill="1" applyBorder="1" applyAlignment="1" applyProtection="1">
      <alignment vertical="center"/>
      <protection locked="0"/>
    </xf>
    <xf numFmtId="0" fontId="16" fillId="5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16" fillId="5" borderId="0" xfId="0" applyFont="1" applyFill="1" applyBorder="1" applyAlignment="1">
      <alignment horizontal="left" vertical="center"/>
    </xf>
    <xf numFmtId="0" fontId="15" fillId="5" borderId="5" xfId="0" applyFont="1" applyFill="1" applyBorder="1" applyAlignment="1">
      <alignment vertical="center"/>
    </xf>
    <xf numFmtId="0" fontId="15" fillId="5" borderId="5" xfId="0" applyFont="1" applyFill="1" applyBorder="1" applyAlignment="1">
      <alignment horizontal="left" vertical="center"/>
    </xf>
    <xf numFmtId="0" fontId="9" fillId="5" borderId="0" xfId="0" applyFont="1" applyFill="1" applyBorder="1" applyAlignment="1">
      <alignment vertical="center"/>
    </xf>
    <xf numFmtId="0" fontId="0" fillId="8" borderId="2" xfId="0" applyFill="1" applyBorder="1" applyAlignment="1">
      <alignment vertical="center"/>
    </xf>
    <xf numFmtId="0" fontId="0" fillId="8" borderId="3" xfId="0" applyFill="1" applyBorder="1" applyAlignment="1">
      <alignment vertical="center"/>
    </xf>
    <xf numFmtId="0" fontId="0" fillId="5" borderId="5" xfId="0" applyFill="1" applyBorder="1" applyAlignment="1">
      <alignment vertical="center"/>
    </xf>
    <xf numFmtId="0" fontId="9" fillId="5" borderId="7" xfId="0" applyFont="1" applyFill="1" applyBorder="1" applyAlignment="1">
      <alignment vertical="center"/>
    </xf>
    <xf numFmtId="0" fontId="16" fillId="5" borderId="7" xfId="0" applyFont="1" applyFill="1" applyBorder="1" applyAlignment="1">
      <alignment horizontal="left" vertical="center"/>
    </xf>
    <xf numFmtId="0" fontId="15" fillId="5" borderId="8" xfId="0" applyFont="1" applyFill="1" applyBorder="1" applyAlignment="1">
      <alignment horizontal="left" vertical="center"/>
    </xf>
    <xf numFmtId="0" fontId="2" fillId="0" borderId="2" xfId="0" applyFont="1" applyBorder="1" applyAlignment="1">
      <alignment wrapText="1"/>
    </xf>
    <xf numFmtId="0" fontId="18" fillId="0" borderId="6" xfId="0" applyNumberFormat="1" applyFont="1" applyFill="1" applyBorder="1" applyAlignment="1">
      <alignment vertical="center"/>
    </xf>
    <xf numFmtId="165" fontId="0" fillId="0" borderId="0" xfId="0" applyNumberForma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0" fillId="0" borderId="0" xfId="0" applyFont="1" applyBorder="1" applyAlignment="1">
      <alignment vertical="center"/>
    </xf>
    <xf numFmtId="0" fontId="4" fillId="0" borderId="0" xfId="1" applyBorder="1" applyAlignment="1" applyProtection="1">
      <alignment vertical="center"/>
      <protection locked="0"/>
    </xf>
    <xf numFmtId="0" fontId="2" fillId="0" borderId="0" xfId="0" applyFont="1" applyBorder="1" applyAlignment="1">
      <alignment vertical="center"/>
    </xf>
    <xf numFmtId="0" fontId="0" fillId="0" borderId="0" xfId="0" applyBorder="1" applyAlignment="1" applyProtection="1">
      <alignment vertical="center"/>
      <protection locked="0"/>
    </xf>
    <xf numFmtId="165" fontId="0" fillId="0" borderId="0" xfId="0" applyNumberFormat="1" applyAlignment="1">
      <alignment horizontal="left" vertical="center"/>
    </xf>
    <xf numFmtId="0" fontId="0" fillId="11" borderId="10" xfId="0" applyFill="1" applyBorder="1" applyAlignment="1">
      <alignment vertical="center"/>
    </xf>
    <xf numFmtId="0" fontId="1" fillId="11" borderId="11" xfId="0" applyFont="1" applyFill="1" applyBorder="1" applyAlignment="1" applyProtection="1">
      <alignment horizontal="left" vertical="center"/>
      <protection locked="0"/>
    </xf>
    <xf numFmtId="0" fontId="21" fillId="0" borderId="4" xfId="0" applyNumberFormat="1" applyFont="1" applyFill="1" applyBorder="1" applyAlignment="1">
      <alignment vertical="center"/>
    </xf>
    <xf numFmtId="0" fontId="9" fillId="5" borderId="0" xfId="0" applyFont="1" applyFill="1" applyBorder="1" applyAlignment="1" applyProtection="1">
      <alignment vertical="center"/>
    </xf>
    <xf numFmtId="0" fontId="0" fillId="5" borderId="5" xfId="0" applyFill="1" applyBorder="1" applyAlignment="1" applyProtection="1">
      <alignment vertical="center"/>
    </xf>
    <xf numFmtId="0" fontId="16" fillId="5" borderId="0" xfId="0" applyFont="1" applyFill="1" applyBorder="1" applyAlignment="1" applyProtection="1">
      <alignment vertical="center"/>
    </xf>
    <xf numFmtId="0" fontId="15" fillId="5" borderId="5" xfId="0" applyFont="1" applyFill="1" applyBorder="1" applyAlignment="1" applyProtection="1">
      <alignment vertical="center"/>
    </xf>
    <xf numFmtId="0" fontId="16" fillId="5" borderId="0" xfId="0" applyFont="1" applyFill="1" applyBorder="1" applyAlignment="1" applyProtection="1">
      <alignment horizontal="left" vertical="center"/>
    </xf>
    <xf numFmtId="0" fontId="15" fillId="5" borderId="5" xfId="0" applyFont="1" applyFill="1" applyBorder="1" applyAlignment="1" applyProtection="1">
      <alignment horizontal="left" vertical="center"/>
    </xf>
    <xf numFmtId="0" fontId="9" fillId="5" borderId="7" xfId="0" applyFont="1" applyFill="1" applyBorder="1" applyAlignment="1" applyProtection="1">
      <alignment vertical="center"/>
    </xf>
    <xf numFmtId="0" fontId="16" fillId="5" borderId="7" xfId="0" applyFont="1" applyFill="1" applyBorder="1" applyAlignment="1" applyProtection="1">
      <alignment horizontal="left" vertical="center"/>
    </xf>
    <xf numFmtId="0" fontId="15" fillId="5" borderId="8" xfId="0" applyFont="1" applyFill="1" applyBorder="1" applyAlignment="1" applyProtection="1">
      <alignment horizontal="left" vertical="center"/>
    </xf>
    <xf numFmtId="0" fontId="16" fillId="0" borderId="0" xfId="0" applyFont="1" applyFill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left" vertical="center"/>
    </xf>
    <xf numFmtId="0" fontId="15" fillId="0" borderId="5" xfId="0" applyFont="1" applyBorder="1" applyAlignment="1" applyProtection="1">
      <alignment horizontal="left" vertical="center"/>
    </xf>
    <xf numFmtId="0" fontId="10" fillId="3" borderId="4" xfId="0" applyFont="1" applyFill="1" applyBorder="1" applyAlignment="1" applyProtection="1">
      <alignment vertical="center"/>
    </xf>
    <xf numFmtId="0" fontId="10" fillId="3" borderId="0" xfId="0" applyFont="1" applyFill="1" applyBorder="1" applyAlignment="1" applyProtection="1">
      <alignment vertical="center"/>
    </xf>
    <xf numFmtId="0" fontId="9" fillId="3" borderId="0" xfId="0" applyFont="1" applyFill="1" applyBorder="1" applyAlignment="1" applyProtection="1">
      <alignment vertical="center"/>
    </xf>
    <xf numFmtId="0" fontId="0" fillId="3" borderId="0" xfId="0" applyFill="1" applyBorder="1" applyAlignment="1" applyProtection="1">
      <alignment vertical="center"/>
    </xf>
    <xf numFmtId="0" fontId="0" fillId="3" borderId="5" xfId="0" applyFill="1" applyBorder="1" applyAlignment="1" applyProtection="1">
      <alignment vertical="center"/>
    </xf>
    <xf numFmtId="0" fontId="22" fillId="12" borderId="4" xfId="0" applyFont="1" applyFill="1" applyBorder="1" applyAlignment="1" applyProtection="1">
      <alignment vertical="center"/>
    </xf>
    <xf numFmtId="0" fontId="19" fillId="0" borderId="4" xfId="0" applyFont="1" applyFill="1" applyBorder="1" applyAlignment="1" applyProtection="1">
      <alignment horizontal="left" vertical="center"/>
    </xf>
    <xf numFmtId="0" fontId="16" fillId="0" borderId="0" xfId="0" applyFont="1" applyFill="1" applyBorder="1" applyAlignment="1" applyProtection="1">
      <alignment vertical="center"/>
    </xf>
    <xf numFmtId="0" fontId="19" fillId="0" borderId="4" xfId="0" applyFont="1" applyFill="1" applyBorder="1" applyAlignment="1" applyProtection="1">
      <alignment vertical="center"/>
    </xf>
    <xf numFmtId="0" fontId="10" fillId="3" borderId="6" xfId="0" applyFont="1" applyFill="1" applyBorder="1" applyAlignment="1" applyProtection="1">
      <alignment vertical="center"/>
    </xf>
    <xf numFmtId="0" fontId="10" fillId="3" borderId="7" xfId="0" applyFont="1" applyFill="1" applyBorder="1" applyAlignment="1" applyProtection="1">
      <alignment vertical="center"/>
    </xf>
    <xf numFmtId="0" fontId="9" fillId="3" borderId="7" xfId="0" applyFont="1" applyFill="1" applyBorder="1" applyAlignment="1" applyProtection="1">
      <alignment vertical="center"/>
    </xf>
    <xf numFmtId="0" fontId="0" fillId="3" borderId="7" xfId="0" applyFill="1" applyBorder="1" applyAlignment="1" applyProtection="1">
      <alignment vertical="center"/>
    </xf>
    <xf numFmtId="0" fontId="0" fillId="3" borderId="8" xfId="0" applyFill="1" applyBorder="1" applyAlignment="1" applyProtection="1">
      <alignment vertical="center"/>
    </xf>
    <xf numFmtId="0" fontId="19" fillId="0" borderId="6" xfId="0" applyFont="1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165" fontId="0" fillId="0" borderId="0" xfId="0" applyNumberFormat="1" applyBorder="1" applyAlignment="1" applyProtection="1">
      <alignment horizontal="left" vertical="center"/>
    </xf>
    <xf numFmtId="0" fontId="21" fillId="0" borderId="6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13" fillId="6" borderId="6" xfId="0" applyFont="1" applyFill="1" applyBorder="1" applyAlignment="1">
      <alignment horizontal="left"/>
    </xf>
    <xf numFmtId="0" fontId="13" fillId="6" borderId="7" xfId="0" applyFont="1" applyFill="1" applyBorder="1" applyAlignment="1">
      <alignment horizontal="left"/>
    </xf>
    <xf numFmtId="0" fontId="13" fillId="4" borderId="7" xfId="0" applyFont="1" applyFill="1" applyBorder="1" applyAlignment="1">
      <alignment horizontal="left"/>
    </xf>
    <xf numFmtId="0" fontId="13" fillId="4" borderId="8" xfId="0" applyFont="1" applyFill="1" applyBorder="1" applyAlignment="1">
      <alignment horizontal="left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14" fillId="6" borderId="9" xfId="0" applyFont="1" applyFill="1" applyBorder="1" applyAlignment="1">
      <alignment horizontal="left" vertical="center"/>
    </xf>
    <xf numFmtId="0" fontId="14" fillId="6" borderId="10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3" fillId="6" borderId="4" xfId="0" applyFont="1" applyFill="1" applyBorder="1" applyAlignment="1">
      <alignment horizontal="left"/>
    </xf>
    <xf numFmtId="0" fontId="13" fillId="6" borderId="0" xfId="0" applyFont="1" applyFill="1" applyBorder="1" applyAlignment="1">
      <alignment horizontal="left"/>
    </xf>
    <xf numFmtId="0" fontId="13" fillId="4" borderId="0" xfId="0" applyFont="1" applyFill="1" applyBorder="1" applyAlignment="1">
      <alignment horizontal="left"/>
    </xf>
    <xf numFmtId="0" fontId="13" fillId="4" borderId="5" xfId="0" applyFont="1" applyFill="1" applyBorder="1" applyAlignment="1">
      <alignment horizontal="left"/>
    </xf>
    <xf numFmtId="0" fontId="11" fillId="0" borderId="0" xfId="0" applyFont="1" applyAlignment="1">
      <alignment horizontal="left"/>
    </xf>
    <xf numFmtId="0" fontId="11" fillId="5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10" fillId="0" borderId="0" xfId="0" applyFont="1" applyAlignment="1">
      <alignment horizontal="left" wrapText="1"/>
    </xf>
    <xf numFmtId="0" fontId="13" fillId="6" borderId="4" xfId="0" applyFont="1" applyFill="1" applyBorder="1" applyAlignment="1" applyProtection="1">
      <alignment horizontal="left"/>
    </xf>
    <xf numFmtId="0" fontId="13" fillId="6" borderId="0" xfId="0" applyFont="1" applyFill="1" applyBorder="1" applyAlignment="1" applyProtection="1">
      <alignment horizontal="left"/>
    </xf>
    <xf numFmtId="0" fontId="13" fillId="4" borderId="0" xfId="0" applyFont="1" applyFill="1" applyBorder="1" applyAlignment="1" applyProtection="1">
      <alignment horizontal="left"/>
    </xf>
    <xf numFmtId="0" fontId="13" fillId="4" borderId="5" xfId="0" applyFont="1" applyFill="1" applyBorder="1" applyAlignment="1" applyProtection="1">
      <alignment horizontal="left"/>
    </xf>
    <xf numFmtId="0" fontId="13" fillId="6" borderId="6" xfId="0" applyFont="1" applyFill="1" applyBorder="1" applyAlignment="1" applyProtection="1">
      <alignment horizontal="left"/>
    </xf>
    <xf numFmtId="0" fontId="13" fillId="6" borderId="7" xfId="0" applyFont="1" applyFill="1" applyBorder="1" applyAlignment="1" applyProtection="1">
      <alignment horizontal="left"/>
    </xf>
    <xf numFmtId="0" fontId="13" fillId="4" borderId="7" xfId="0" applyFont="1" applyFill="1" applyBorder="1" applyAlignment="1" applyProtection="1">
      <alignment horizontal="left"/>
    </xf>
    <xf numFmtId="0" fontId="13" fillId="4" borderId="8" xfId="0" applyFont="1" applyFill="1" applyBorder="1" applyAlignment="1" applyProtection="1">
      <alignment horizontal="left"/>
    </xf>
    <xf numFmtId="164" fontId="15" fillId="0" borderId="0" xfId="0" applyNumberFormat="1" applyFont="1" applyAlignment="1" applyProtection="1">
      <alignment horizontal="left" vertical="center"/>
    </xf>
    <xf numFmtId="0" fontId="11" fillId="5" borderId="0" xfId="0" applyFont="1" applyFill="1" applyAlignment="1" applyProtection="1">
      <alignment horizontal="left"/>
    </xf>
    <xf numFmtId="0" fontId="15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/>
    </xf>
    <xf numFmtId="0" fontId="12" fillId="0" borderId="1" xfId="0" applyFont="1" applyBorder="1" applyAlignment="1" applyProtection="1">
      <alignment horizontal="left"/>
    </xf>
    <xf numFmtId="0" fontId="12" fillId="0" borderId="2" xfId="0" applyFont="1" applyBorder="1" applyAlignment="1" applyProtection="1">
      <alignment horizontal="left"/>
    </xf>
    <xf numFmtId="0" fontId="14" fillId="6" borderId="9" xfId="0" applyFont="1" applyFill="1" applyBorder="1" applyAlignment="1" applyProtection="1">
      <alignment horizontal="left" vertical="center"/>
    </xf>
    <xf numFmtId="0" fontId="14" fillId="6" borderId="10" xfId="0" applyFont="1" applyFill="1" applyBorder="1" applyAlignment="1" applyProtection="1">
      <alignment horizontal="left" vertical="center"/>
    </xf>
    <xf numFmtId="0" fontId="3" fillId="0" borderId="10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left" wrapText="1"/>
    </xf>
    <xf numFmtId="0" fontId="1" fillId="6" borderId="10" xfId="0" applyFont="1" applyFill="1" applyBorder="1" applyAlignment="1">
      <alignment horizontal="left" vertical="center"/>
    </xf>
    <xf numFmtId="0" fontId="10" fillId="8" borderId="1" xfId="0" applyFont="1" applyFill="1" applyBorder="1" applyAlignment="1">
      <alignment horizontal="left"/>
    </xf>
    <xf numFmtId="0" fontId="10" fillId="8" borderId="2" xfId="0" applyFont="1" applyFill="1" applyBorder="1" applyAlignment="1">
      <alignment horizontal="left"/>
    </xf>
    <xf numFmtId="0" fontId="10" fillId="8" borderId="3" xfId="0" applyFont="1" applyFill="1" applyBorder="1" applyAlignment="1">
      <alignment horizontal="left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5" borderId="4" xfId="0" applyFont="1" applyFill="1" applyBorder="1" applyAlignment="1">
      <alignment horizontal="left"/>
    </xf>
    <xf numFmtId="0" fontId="16" fillId="5" borderId="0" xfId="0" applyFont="1" applyFill="1" applyBorder="1" applyAlignment="1">
      <alignment horizontal="left"/>
    </xf>
    <xf numFmtId="0" fontId="16" fillId="5" borderId="4" xfId="0" applyFont="1" applyFill="1" applyBorder="1" applyAlignment="1">
      <alignment horizontal="left" wrapText="1"/>
    </xf>
    <xf numFmtId="0" fontId="16" fillId="5" borderId="0" xfId="0" applyFont="1" applyFill="1" applyBorder="1" applyAlignment="1">
      <alignment horizontal="left" wrapText="1"/>
    </xf>
    <xf numFmtId="0" fontId="3" fillId="0" borderId="10" xfId="0" applyFont="1" applyFill="1" applyBorder="1" applyAlignment="1" applyProtection="1">
      <alignment horizontal="left" vertical="center"/>
      <protection locked="0"/>
    </xf>
    <xf numFmtId="0" fontId="16" fillId="5" borderId="6" xfId="0" applyFont="1" applyFill="1" applyBorder="1" applyAlignment="1">
      <alignment horizontal="left"/>
    </xf>
    <xf numFmtId="0" fontId="16" fillId="5" borderId="7" xfId="0" applyFont="1" applyFill="1" applyBorder="1" applyAlignment="1">
      <alignment horizontal="left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6" fillId="5" borderId="6" xfId="0" applyFont="1" applyFill="1" applyBorder="1" applyAlignment="1">
      <alignment horizontal="left" wrapText="1"/>
    </xf>
    <xf numFmtId="0" fontId="16" fillId="5" borderId="7" xfId="0" applyFont="1" applyFill="1" applyBorder="1" applyAlignment="1">
      <alignment horizontal="left" wrapText="1"/>
    </xf>
    <xf numFmtId="0" fontId="9" fillId="5" borderId="6" xfId="0" applyFont="1" applyFill="1" applyBorder="1" applyAlignment="1" applyProtection="1">
      <alignment horizontal="left" vertical="center"/>
    </xf>
    <xf numFmtId="0" fontId="9" fillId="5" borderId="7" xfId="0" applyFont="1" applyFill="1" applyBorder="1" applyAlignment="1" applyProtection="1">
      <alignment horizontal="left" vertical="center"/>
    </xf>
    <xf numFmtId="0" fontId="19" fillId="0" borderId="0" xfId="0" applyFont="1" applyFill="1" applyBorder="1" applyAlignment="1" applyProtection="1">
      <alignment horizontal="left" vertical="top" wrapText="1"/>
    </xf>
    <xf numFmtId="0" fontId="19" fillId="0" borderId="5" xfId="0" applyFont="1" applyFill="1" applyBorder="1" applyAlignment="1" applyProtection="1">
      <alignment horizontal="left" vertical="top" wrapText="1"/>
    </xf>
    <xf numFmtId="0" fontId="19" fillId="0" borderId="7" xfId="0" applyFont="1" applyFill="1" applyBorder="1" applyAlignment="1" applyProtection="1">
      <alignment horizontal="left" vertical="top" wrapText="1"/>
    </xf>
    <xf numFmtId="0" fontId="19" fillId="0" borderId="8" xfId="0" applyFont="1" applyFill="1" applyBorder="1" applyAlignment="1" applyProtection="1">
      <alignment horizontal="left" vertical="top" wrapText="1"/>
    </xf>
    <xf numFmtId="0" fontId="23" fillId="6" borderId="1" xfId="0" applyFont="1" applyFill="1" applyBorder="1" applyAlignment="1" applyProtection="1">
      <alignment horizontal="left" vertical="center"/>
    </xf>
    <xf numFmtId="0" fontId="23" fillId="6" borderId="2" xfId="0" applyFont="1" applyFill="1" applyBorder="1" applyAlignment="1" applyProtection="1">
      <alignment horizontal="left" vertical="center"/>
    </xf>
    <xf numFmtId="0" fontId="23" fillId="6" borderId="3" xfId="0" applyFont="1" applyFill="1" applyBorder="1" applyAlignment="1" applyProtection="1">
      <alignment horizontal="left" vertical="center"/>
    </xf>
    <xf numFmtId="164" fontId="16" fillId="3" borderId="0" xfId="0" applyNumberFormat="1" applyFont="1" applyFill="1" applyBorder="1" applyAlignment="1" applyProtection="1">
      <alignment horizontal="right" vertical="center"/>
    </xf>
    <xf numFmtId="164" fontId="16" fillId="3" borderId="7" xfId="0" applyNumberFormat="1" applyFont="1" applyFill="1" applyBorder="1" applyAlignment="1" applyProtection="1">
      <alignment horizontal="right" vertical="center"/>
    </xf>
    <xf numFmtId="0" fontId="9" fillId="0" borderId="0" xfId="0" applyFont="1" applyAlignment="1" applyProtection="1">
      <alignment horizontal="left" vertical="center"/>
    </xf>
    <xf numFmtId="0" fontId="10" fillId="9" borderId="1" xfId="0" applyFont="1" applyFill="1" applyBorder="1" applyAlignment="1" applyProtection="1">
      <alignment horizontal="left" vertical="center"/>
    </xf>
    <xf numFmtId="0" fontId="10" fillId="9" borderId="2" xfId="0" applyFont="1" applyFill="1" applyBorder="1" applyAlignment="1" applyProtection="1">
      <alignment horizontal="left" vertical="center"/>
    </xf>
    <xf numFmtId="0" fontId="10" fillId="9" borderId="3" xfId="0" applyFont="1" applyFill="1" applyBorder="1" applyAlignment="1" applyProtection="1">
      <alignment horizontal="left" vertical="center"/>
    </xf>
    <xf numFmtId="0" fontId="9" fillId="5" borderId="4" xfId="0" applyFont="1" applyFill="1" applyBorder="1" applyAlignment="1" applyProtection="1">
      <alignment horizontal="left" vertical="center"/>
    </xf>
    <xf numFmtId="0" fontId="9" fillId="5" borderId="0" xfId="0" applyFont="1" applyFill="1" applyBorder="1" applyAlignment="1" applyProtection="1">
      <alignment horizontal="left" vertical="center"/>
    </xf>
    <xf numFmtId="0" fontId="9" fillId="5" borderId="0" xfId="0" applyFont="1" applyFill="1" applyBorder="1" applyAlignment="1" applyProtection="1">
      <alignment horizontal="right" vertical="center"/>
    </xf>
    <xf numFmtId="0" fontId="9" fillId="5" borderId="7" xfId="0" applyFont="1" applyFill="1" applyBorder="1" applyAlignment="1" applyProtection="1">
      <alignment horizontal="right" vertical="center"/>
    </xf>
    <xf numFmtId="0" fontId="1" fillId="10" borderId="0" xfId="0" applyFont="1" applyFill="1" applyBorder="1" applyAlignment="1">
      <alignment horizontal="left" vertical="center" wrapText="1"/>
    </xf>
    <xf numFmtId="0" fontId="10" fillId="8" borderId="9" xfId="0" applyFont="1" applyFill="1" applyBorder="1" applyAlignment="1" applyProtection="1">
      <alignment horizontal="left" vertical="center"/>
    </xf>
    <xf numFmtId="0" fontId="10" fillId="8" borderId="10" xfId="0" applyFont="1" applyFill="1" applyBorder="1" applyAlignment="1" applyProtection="1">
      <alignment horizontal="left" vertical="center"/>
    </xf>
    <xf numFmtId="0" fontId="10" fillId="8" borderId="11" xfId="0" applyFont="1" applyFill="1" applyBorder="1" applyAlignment="1" applyProtection="1">
      <alignment horizontal="left" vertical="center"/>
    </xf>
    <xf numFmtId="164" fontId="20" fillId="0" borderId="7" xfId="0" applyNumberFormat="1" applyFont="1" applyFill="1" applyBorder="1" applyAlignment="1" applyProtection="1">
      <alignment horizontal="left" vertical="center"/>
      <protection locked="0"/>
    </xf>
    <xf numFmtId="164" fontId="20" fillId="0" borderId="8" xfId="0" applyNumberFormat="1" applyFont="1" applyFill="1" applyBorder="1" applyAlignment="1" applyProtection="1">
      <alignment horizontal="left" vertical="center"/>
      <protection locked="0"/>
    </xf>
    <xf numFmtId="0" fontId="16" fillId="0" borderId="7" xfId="0" applyFont="1" applyFill="1" applyBorder="1" applyAlignment="1">
      <alignment horizontal="left" vertical="center"/>
    </xf>
    <xf numFmtId="0" fontId="14" fillId="11" borderId="9" xfId="0" applyFont="1" applyFill="1" applyBorder="1" applyAlignment="1">
      <alignment horizontal="left" vertical="center"/>
    </xf>
    <xf numFmtId="0" fontId="14" fillId="11" borderId="10" xfId="0" applyFont="1" applyFill="1" applyBorder="1" applyAlignment="1">
      <alignment horizontal="left" vertical="center"/>
    </xf>
    <xf numFmtId="0" fontId="1" fillId="11" borderId="10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10" xfId="0" applyBorder="1" applyAlignment="1" applyProtection="1">
      <alignment horizontal="left" vertical="center"/>
      <protection locked="0"/>
    </xf>
    <xf numFmtId="0" fontId="9" fillId="5" borderId="4" xfId="0" applyFont="1" applyFill="1" applyBorder="1" applyAlignment="1">
      <alignment horizontal="left" vertical="center"/>
    </xf>
    <xf numFmtId="0" fontId="9" fillId="5" borderId="0" xfId="0" applyFont="1" applyFill="1" applyBorder="1" applyAlignment="1">
      <alignment horizontal="left" vertical="center"/>
    </xf>
    <xf numFmtId="0" fontId="9" fillId="5" borderId="0" xfId="0" applyFont="1" applyFill="1" applyBorder="1" applyAlignment="1">
      <alignment horizontal="right" vertical="center"/>
    </xf>
    <xf numFmtId="0" fontId="14" fillId="10" borderId="0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left" vertical="center"/>
    </xf>
    <xf numFmtId="0" fontId="10" fillId="9" borderId="1" xfId="0" applyFont="1" applyFill="1" applyBorder="1" applyAlignment="1">
      <alignment horizontal="left"/>
    </xf>
    <xf numFmtId="0" fontId="10" fillId="9" borderId="2" xfId="0" applyFont="1" applyFill="1" applyBorder="1" applyAlignment="1">
      <alignment horizontal="left"/>
    </xf>
    <xf numFmtId="0" fontId="10" fillId="9" borderId="3" xfId="0" applyFont="1" applyFill="1" applyBorder="1" applyAlignment="1">
      <alignment horizontal="left"/>
    </xf>
    <xf numFmtId="164" fontId="16" fillId="3" borderId="0" xfId="0" applyNumberFormat="1" applyFont="1" applyFill="1" applyBorder="1" applyAlignment="1">
      <alignment horizontal="right"/>
    </xf>
    <xf numFmtId="164" fontId="20" fillId="0" borderId="0" xfId="0" applyNumberFormat="1" applyFont="1" applyFill="1" applyBorder="1" applyAlignment="1" applyProtection="1">
      <alignment horizontal="left" vertical="center"/>
      <protection locked="0"/>
    </xf>
    <xf numFmtId="164" fontId="20" fillId="0" borderId="5" xfId="0" applyNumberFormat="1" applyFont="1" applyFill="1" applyBorder="1" applyAlignment="1" applyProtection="1">
      <alignment horizontal="left" vertical="center"/>
      <protection locked="0"/>
    </xf>
    <xf numFmtId="0" fontId="9" fillId="5" borderId="6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164" fontId="16" fillId="3" borderId="7" xfId="0" applyNumberFormat="1" applyFont="1" applyFill="1" applyBorder="1" applyAlignment="1">
      <alignment horizontal="right"/>
    </xf>
    <xf numFmtId="0" fontId="9" fillId="5" borderId="7" xfId="0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finanzen.ch/rohstoffe/silberpreis/CHF" TargetMode="External"/><Relationship Id="rId7" Type="http://schemas.openxmlformats.org/officeDocument/2006/relationships/hyperlink" Target="http://www.edelmetall-handel.de/1kg-titanbarren-1000g.html" TargetMode="External"/><Relationship Id="rId2" Type="http://schemas.openxmlformats.org/officeDocument/2006/relationships/hyperlink" Target="https://www.diamondax.com/einzelne-diamanten/einkaraeter-lupenrein.html" TargetMode="External"/><Relationship Id="rId1" Type="http://schemas.openxmlformats.org/officeDocument/2006/relationships/hyperlink" Target="https://www.diamondax.com/einzelne-diamanten/einkaraeter-lupenrein.html" TargetMode="External"/><Relationship Id="rId6" Type="http://schemas.openxmlformats.org/officeDocument/2006/relationships/hyperlink" Target="http://www.finanzen.ch/rohstoffe/uranpreis/CHF" TargetMode="External"/><Relationship Id="rId5" Type="http://schemas.openxmlformats.org/officeDocument/2006/relationships/hyperlink" Target="http://www.finanzen.net/rohstoffe/platinpreis/chf" TargetMode="External"/><Relationship Id="rId4" Type="http://schemas.openxmlformats.org/officeDocument/2006/relationships/hyperlink" Target="http://www.finanzen.ch/rohstoffe/goldpreis/CH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43"/>
  <sheetViews>
    <sheetView showGridLines="0" showRowColHeaders="0" tabSelected="1" zoomScaleNormal="100" workbookViewId="0">
      <selection activeCell="B38" sqref="B38:J38"/>
    </sheetView>
  </sheetViews>
  <sheetFormatPr baseColWidth="10" defaultRowHeight="15" x14ac:dyDescent="0.25"/>
  <cols>
    <col min="2" max="2" width="4.140625" customWidth="1"/>
    <col min="3" max="3" width="5.140625" customWidth="1"/>
    <col min="4" max="4" width="12.7109375" bestFit="1" customWidth="1"/>
    <col min="6" max="6" width="8.28515625" customWidth="1"/>
    <col min="7" max="7" width="4.85546875" customWidth="1"/>
    <col min="8" max="8" width="10.28515625" customWidth="1"/>
    <col min="10" max="10" width="15.7109375" customWidth="1"/>
    <col min="13" max="13" width="13.140625" customWidth="1"/>
    <col min="14" max="14" width="15.140625" customWidth="1"/>
    <col min="15" max="15" width="12.140625" customWidth="1"/>
  </cols>
  <sheetData>
    <row r="2" spans="2:16" ht="22.5" customHeight="1" x14ac:dyDescent="0.25">
      <c r="B2" s="239" t="s">
        <v>104</v>
      </c>
      <c r="C2" s="240"/>
      <c r="D2" s="240"/>
      <c r="E2" s="240"/>
      <c r="F2" s="48" t="s">
        <v>110</v>
      </c>
      <c r="G2" s="237"/>
      <c r="H2" s="237"/>
      <c r="I2" s="49" t="s">
        <v>101</v>
      </c>
      <c r="J2" s="60">
        <v>1</v>
      </c>
    </row>
    <row r="4" spans="2:16" ht="21.75" customHeight="1" x14ac:dyDescent="0.25">
      <c r="B4" s="249" t="s">
        <v>102</v>
      </c>
      <c r="C4" s="249"/>
      <c r="D4" s="249"/>
      <c r="E4" s="249"/>
      <c r="F4" s="249"/>
      <c r="G4" s="249"/>
      <c r="H4" s="249"/>
      <c r="I4" s="249"/>
      <c r="J4" s="249"/>
    </row>
    <row r="5" spans="2:16" ht="4.5" customHeight="1" x14ac:dyDescent="0.25"/>
    <row r="6" spans="2:16" x14ac:dyDescent="0.25">
      <c r="B6" s="250" t="s">
        <v>79</v>
      </c>
      <c r="C6" s="250"/>
      <c r="D6" s="250"/>
      <c r="E6" s="250"/>
      <c r="F6" s="250"/>
      <c r="G6" s="250"/>
      <c r="H6" s="250"/>
      <c r="I6" s="250"/>
      <c r="J6" s="250"/>
      <c r="L6" s="254" t="s">
        <v>118</v>
      </c>
      <c r="M6" s="254"/>
      <c r="N6" s="254"/>
      <c r="O6" s="254"/>
    </row>
    <row r="7" spans="2:16" s="1" customFormat="1" ht="27.75" customHeight="1" x14ac:dyDescent="0.25">
      <c r="B7" s="251" t="s">
        <v>117</v>
      </c>
      <c r="C7" s="251"/>
      <c r="D7" s="251"/>
      <c r="E7" s="251"/>
      <c r="F7" s="251"/>
      <c r="G7" s="251"/>
      <c r="H7" s="251"/>
      <c r="I7" s="251"/>
      <c r="J7" s="251"/>
      <c r="L7" s="254"/>
      <c r="M7" s="254"/>
      <c r="N7" s="254"/>
      <c r="O7" s="254"/>
    </row>
    <row r="8" spans="2:16" ht="18.75" customHeight="1" x14ac:dyDescent="0.25"/>
    <row r="9" spans="2:16" s="18" customFormat="1" ht="18" customHeight="1" x14ac:dyDescent="0.2">
      <c r="B9" s="20" t="s">
        <v>86</v>
      </c>
      <c r="C9" s="42"/>
      <c r="D9" s="42"/>
      <c r="E9" s="42"/>
      <c r="F9" s="43"/>
      <c r="G9" s="35"/>
      <c r="H9" s="38" t="s">
        <v>87</v>
      </c>
      <c r="I9" s="39"/>
      <c r="J9" s="40"/>
      <c r="L9" s="252" t="s">
        <v>112</v>
      </c>
      <c r="M9" s="253"/>
      <c r="N9" s="51"/>
      <c r="O9" s="52"/>
    </row>
    <row r="10" spans="2:16" x14ac:dyDescent="0.25">
      <c r="B10" s="21" t="s">
        <v>33</v>
      </c>
      <c r="C10" s="36"/>
      <c r="D10" s="22">
        <f>Kosten!C1</f>
        <v>20000</v>
      </c>
      <c r="E10" s="23" t="s">
        <v>111</v>
      </c>
      <c r="F10" s="24"/>
      <c r="G10" s="37"/>
      <c r="H10" s="41" t="s">
        <v>33</v>
      </c>
      <c r="I10" s="30">
        <f>wertvoll!K1</f>
        <v>3.51</v>
      </c>
      <c r="J10" s="31" t="s">
        <v>84</v>
      </c>
      <c r="L10" s="53" t="s">
        <v>33</v>
      </c>
      <c r="M10" s="56">
        <v>20000</v>
      </c>
      <c r="N10" s="37" t="s">
        <v>113</v>
      </c>
      <c r="O10" s="58" t="s">
        <v>116</v>
      </c>
      <c r="P10" s="50"/>
    </row>
    <row r="11" spans="2:16" x14ac:dyDescent="0.25">
      <c r="B11" s="21" t="s">
        <v>26</v>
      </c>
      <c r="C11" s="36"/>
      <c r="D11" s="22">
        <f>Kosten!B2</f>
        <v>0.57999999999999996</v>
      </c>
      <c r="E11" s="23" t="s">
        <v>80</v>
      </c>
      <c r="F11" s="24"/>
      <c r="G11" s="37"/>
      <c r="H11" s="29" t="s">
        <v>29</v>
      </c>
      <c r="I11" s="30">
        <f>wertvoll!K2</f>
        <v>19.302</v>
      </c>
      <c r="J11" s="31" t="s">
        <v>85</v>
      </c>
      <c r="L11" s="53" t="s">
        <v>26</v>
      </c>
      <c r="M11" s="56">
        <v>0.57999999999999996</v>
      </c>
      <c r="N11" s="37" t="s">
        <v>80</v>
      </c>
      <c r="O11" s="58" t="s">
        <v>116</v>
      </c>
      <c r="P11" s="50"/>
    </row>
    <row r="12" spans="2:16" x14ac:dyDescent="0.25">
      <c r="B12" s="21" t="s">
        <v>29</v>
      </c>
      <c r="C12" s="36"/>
      <c r="D12" s="22">
        <f>Kosten!B3</f>
        <v>39.630000000000003</v>
      </c>
      <c r="E12" s="23" t="s">
        <v>80</v>
      </c>
      <c r="F12" s="24"/>
      <c r="G12" s="37"/>
      <c r="H12" s="29" t="s">
        <v>30</v>
      </c>
      <c r="I12" s="30">
        <f>wertvoll!K3</f>
        <v>21.45</v>
      </c>
      <c r="J12" s="31" t="s">
        <v>85</v>
      </c>
      <c r="L12" s="53" t="s">
        <v>29</v>
      </c>
      <c r="M12" s="56">
        <v>39.630000000000003</v>
      </c>
      <c r="N12" s="37" t="s">
        <v>80</v>
      </c>
      <c r="O12" s="58" t="s">
        <v>116</v>
      </c>
      <c r="P12" s="50"/>
    </row>
    <row r="13" spans="2:16" x14ac:dyDescent="0.25">
      <c r="B13" s="21" t="s">
        <v>30</v>
      </c>
      <c r="C13" s="36"/>
      <c r="D13" s="22">
        <f>Kosten!C4</f>
        <v>1010.43</v>
      </c>
      <c r="E13" s="23" t="s">
        <v>81</v>
      </c>
      <c r="F13" s="24"/>
      <c r="G13" s="37"/>
      <c r="H13" s="29" t="s">
        <v>26</v>
      </c>
      <c r="I13" s="30">
        <f>wertvoll!K4</f>
        <v>10.49</v>
      </c>
      <c r="J13" s="31" t="s">
        <v>85</v>
      </c>
      <c r="L13" s="53" t="s">
        <v>30</v>
      </c>
      <c r="M13" s="56">
        <v>1010.43</v>
      </c>
      <c r="N13" s="37" t="s">
        <v>114</v>
      </c>
      <c r="O13" s="58" t="s">
        <v>116</v>
      </c>
      <c r="P13" s="50"/>
    </row>
    <row r="14" spans="2:16" x14ac:dyDescent="0.25">
      <c r="B14" s="21" t="s">
        <v>28</v>
      </c>
      <c r="C14" s="36"/>
      <c r="D14" s="22">
        <f>Kosten!C5</f>
        <v>26.81</v>
      </c>
      <c r="E14" s="23" t="s">
        <v>82</v>
      </c>
      <c r="F14" s="24"/>
      <c r="G14" s="37"/>
      <c r="H14" s="29" t="s">
        <v>15</v>
      </c>
      <c r="I14" s="30">
        <f>wertvoll!K5</f>
        <v>4.5</v>
      </c>
      <c r="J14" s="31" t="s">
        <v>85</v>
      </c>
      <c r="L14" s="53" t="s">
        <v>28</v>
      </c>
      <c r="M14" s="56">
        <v>26.81</v>
      </c>
      <c r="N14" s="37" t="s">
        <v>115</v>
      </c>
      <c r="O14" s="58" t="s">
        <v>116</v>
      </c>
      <c r="P14" s="50"/>
    </row>
    <row r="15" spans="2:16" x14ac:dyDescent="0.25">
      <c r="B15" s="25" t="s">
        <v>15</v>
      </c>
      <c r="C15" s="45"/>
      <c r="D15" s="26">
        <f>Kosten!C6</f>
        <v>24.83</v>
      </c>
      <c r="E15" s="27" t="s">
        <v>83</v>
      </c>
      <c r="F15" s="28"/>
      <c r="G15" s="37"/>
      <c r="H15" s="32" t="s">
        <v>28</v>
      </c>
      <c r="I15" s="33">
        <f>wertvoll!K6</f>
        <v>19.05</v>
      </c>
      <c r="J15" s="34" t="s">
        <v>85</v>
      </c>
      <c r="L15" s="54" t="s">
        <v>15</v>
      </c>
      <c r="M15" s="57">
        <v>24.83</v>
      </c>
      <c r="N15" s="55" t="s">
        <v>83</v>
      </c>
      <c r="O15" s="59" t="s">
        <v>116</v>
      </c>
      <c r="P15" s="50"/>
    </row>
    <row r="17" spans="2:10" x14ac:dyDescent="0.25">
      <c r="B17" s="46" t="s">
        <v>88</v>
      </c>
      <c r="C17" s="248" t="str">
        <f ca="1">wertvoll!B1</f>
        <v>Eine Firma bestellt 0.442 cm³ Platin. Wie viel wiegt das?</v>
      </c>
      <c r="D17" s="248"/>
      <c r="E17" s="248"/>
      <c r="F17" s="248"/>
      <c r="G17" s="248"/>
      <c r="H17" s="248"/>
      <c r="I17" s="248"/>
      <c r="J17" s="248"/>
    </row>
    <row r="18" spans="2:10" ht="22.5" customHeight="1" x14ac:dyDescent="0.25">
      <c r="B18" s="238"/>
      <c r="C18" s="238"/>
      <c r="D18" s="238"/>
      <c r="E18" s="238"/>
      <c r="F18" s="238"/>
      <c r="G18" s="238"/>
      <c r="H18" s="238"/>
      <c r="I18" s="238"/>
      <c r="J18" s="238"/>
    </row>
    <row r="19" spans="2:10" x14ac:dyDescent="0.25">
      <c r="B19" s="44" t="s">
        <v>89</v>
      </c>
      <c r="C19" s="247" t="s">
        <v>90</v>
      </c>
      <c r="D19" s="247"/>
      <c r="E19" s="247"/>
      <c r="F19" s="247"/>
      <c r="G19" s="247"/>
      <c r="H19" s="247"/>
      <c r="I19" s="247"/>
      <c r="J19" s="247"/>
    </row>
    <row r="20" spans="2:10" ht="22.5" customHeight="1" x14ac:dyDescent="0.25">
      <c r="B20" s="238"/>
      <c r="C20" s="238"/>
      <c r="D20" s="238"/>
      <c r="E20" s="238"/>
      <c r="F20" s="238"/>
      <c r="G20" s="238"/>
      <c r="H20" s="238"/>
      <c r="I20" s="238"/>
      <c r="J20" s="238"/>
    </row>
    <row r="21" spans="2:10" x14ac:dyDescent="0.25">
      <c r="B21" s="46" t="s">
        <v>91</v>
      </c>
      <c r="C21" s="248" t="str">
        <f ca="1">wertvoll!B2</f>
        <v>Eine Firma bestellt 45 Gramm Platin. Wie gross ist das Volumen in dm³?</v>
      </c>
      <c r="D21" s="248"/>
      <c r="E21" s="248"/>
      <c r="F21" s="248"/>
      <c r="G21" s="248"/>
      <c r="H21" s="248"/>
      <c r="I21" s="248"/>
      <c r="J21" s="248"/>
    </row>
    <row r="22" spans="2:10" ht="22.5" customHeight="1" x14ac:dyDescent="0.25">
      <c r="B22" s="238"/>
      <c r="C22" s="238"/>
      <c r="D22" s="238"/>
      <c r="E22" s="238"/>
      <c r="F22" s="238"/>
      <c r="G22" s="238"/>
      <c r="H22" s="238"/>
      <c r="I22" s="238"/>
      <c r="J22" s="238"/>
    </row>
    <row r="23" spans="2:10" x14ac:dyDescent="0.25">
      <c r="B23" s="44" t="s">
        <v>92</v>
      </c>
      <c r="C23" s="247" t="s">
        <v>90</v>
      </c>
      <c r="D23" s="247"/>
      <c r="E23" s="247"/>
      <c r="F23" s="247"/>
      <c r="G23" s="247"/>
      <c r="H23" s="247"/>
      <c r="I23" s="247"/>
      <c r="J23" s="247"/>
    </row>
    <row r="24" spans="2:10" ht="22.5" customHeight="1" x14ac:dyDescent="0.25">
      <c r="B24" s="238"/>
      <c r="C24" s="238"/>
      <c r="D24" s="238"/>
      <c r="E24" s="238"/>
      <c r="F24" s="238"/>
      <c r="G24" s="238"/>
      <c r="H24" s="238"/>
      <c r="I24" s="238"/>
      <c r="J24" s="238"/>
    </row>
    <row r="25" spans="2:10" x14ac:dyDescent="0.25">
      <c r="B25" s="46" t="s">
        <v>93</v>
      </c>
      <c r="C25" s="248" t="str">
        <f ca="1">wertvoll!B3</f>
        <v>Eine Firma bestellt 1.165 cm³ Gold. Wie viel wiegt das?</v>
      </c>
      <c r="D25" s="248"/>
      <c r="E25" s="248"/>
      <c r="F25" s="248"/>
      <c r="G25" s="248"/>
      <c r="H25" s="248"/>
      <c r="I25" s="248"/>
      <c r="J25" s="248"/>
    </row>
    <row r="26" spans="2:10" ht="22.5" customHeight="1" x14ac:dyDescent="0.25">
      <c r="B26" s="238"/>
      <c r="C26" s="238"/>
      <c r="D26" s="238"/>
      <c r="E26" s="238"/>
      <c r="F26" s="238"/>
      <c r="G26" s="238"/>
      <c r="H26" s="238"/>
      <c r="I26" s="238"/>
      <c r="J26" s="238"/>
    </row>
    <row r="27" spans="2:10" x14ac:dyDescent="0.25">
      <c r="B27" s="44" t="s">
        <v>94</v>
      </c>
      <c r="C27" s="247" t="s">
        <v>90</v>
      </c>
      <c r="D27" s="247"/>
      <c r="E27" s="247"/>
      <c r="F27" s="247"/>
      <c r="G27" s="247"/>
      <c r="H27" s="247"/>
      <c r="I27" s="247"/>
      <c r="J27" s="247"/>
    </row>
    <row r="28" spans="2:10" ht="22.5" customHeight="1" x14ac:dyDescent="0.25">
      <c r="B28" s="238"/>
      <c r="C28" s="238"/>
      <c r="D28" s="238"/>
      <c r="E28" s="238"/>
      <c r="F28" s="238"/>
      <c r="G28" s="238"/>
      <c r="H28" s="238"/>
      <c r="I28" s="238"/>
      <c r="J28" s="238"/>
    </row>
    <row r="29" spans="2:10" x14ac:dyDescent="0.25">
      <c r="B29" s="46" t="s">
        <v>95</v>
      </c>
      <c r="C29" s="248" t="str">
        <f ca="1">wertvoll!B4</f>
        <v>Ein Händler bestellt 28.5 Gramm Silber. Wie gross ist das Volumen in cm³?</v>
      </c>
      <c r="D29" s="248"/>
      <c r="E29" s="248"/>
      <c r="F29" s="248"/>
      <c r="G29" s="248"/>
      <c r="H29" s="248"/>
      <c r="I29" s="248"/>
      <c r="J29" s="248"/>
    </row>
    <row r="30" spans="2:10" ht="22.5" customHeight="1" x14ac:dyDescent="0.25">
      <c r="B30" s="238"/>
      <c r="C30" s="238"/>
      <c r="D30" s="238"/>
      <c r="E30" s="238"/>
      <c r="F30" s="238"/>
      <c r="G30" s="238"/>
      <c r="H30" s="238"/>
      <c r="I30" s="238"/>
      <c r="J30" s="238"/>
    </row>
    <row r="31" spans="2:10" x14ac:dyDescent="0.25">
      <c r="B31" s="44" t="s">
        <v>96</v>
      </c>
      <c r="C31" s="247" t="s">
        <v>90</v>
      </c>
      <c r="D31" s="247"/>
      <c r="E31" s="247"/>
      <c r="F31" s="247"/>
      <c r="G31" s="247"/>
      <c r="H31" s="247"/>
      <c r="I31" s="247"/>
      <c r="J31" s="247"/>
    </row>
    <row r="32" spans="2:10" ht="22.5" customHeight="1" x14ac:dyDescent="0.25">
      <c r="B32" s="238"/>
      <c r="C32" s="238"/>
      <c r="D32" s="238"/>
      <c r="E32" s="238"/>
      <c r="F32" s="238"/>
      <c r="G32" s="238"/>
      <c r="H32" s="238"/>
      <c r="I32" s="238"/>
      <c r="J32" s="238"/>
    </row>
    <row r="33" spans="2:10" x14ac:dyDescent="0.25">
      <c r="B33" s="46" t="s">
        <v>97</v>
      </c>
      <c r="C33" s="248" t="str">
        <f ca="1">wertvoll!B5</f>
        <v>Ein Händler kauft 0.007666 dm³ Titan. Wie viel wiegt das?</v>
      </c>
      <c r="D33" s="248"/>
      <c r="E33" s="248"/>
      <c r="F33" s="248"/>
      <c r="G33" s="248"/>
      <c r="H33" s="248"/>
      <c r="I33" s="248"/>
      <c r="J33" s="248"/>
    </row>
    <row r="34" spans="2:10" ht="22.5" customHeight="1" x14ac:dyDescent="0.25">
      <c r="B34" s="238"/>
      <c r="C34" s="238"/>
      <c r="D34" s="238"/>
      <c r="E34" s="238"/>
      <c r="F34" s="238"/>
      <c r="G34" s="238"/>
      <c r="H34" s="238"/>
      <c r="I34" s="238"/>
      <c r="J34" s="238"/>
    </row>
    <row r="35" spans="2:10" x14ac:dyDescent="0.25">
      <c r="B35" s="44" t="s">
        <v>98</v>
      </c>
      <c r="C35" s="247" t="s">
        <v>90</v>
      </c>
      <c r="D35" s="247"/>
      <c r="E35" s="247"/>
      <c r="F35" s="247"/>
      <c r="G35" s="247"/>
      <c r="H35" s="247"/>
      <c r="I35" s="247"/>
      <c r="J35" s="247"/>
    </row>
    <row r="36" spans="2:10" ht="22.5" customHeight="1" x14ac:dyDescent="0.25">
      <c r="B36" s="238"/>
      <c r="C36" s="238"/>
      <c r="D36" s="238"/>
      <c r="E36" s="238"/>
      <c r="F36" s="238"/>
      <c r="G36" s="238"/>
      <c r="H36" s="238"/>
      <c r="I36" s="238"/>
      <c r="J36" s="238"/>
    </row>
    <row r="37" spans="2:10" x14ac:dyDescent="0.25">
      <c r="B37" s="46" t="s">
        <v>99</v>
      </c>
      <c r="C37" s="248" t="str">
        <f ca="1">wertvoll!B6</f>
        <v>Ein Händler kauft 0.005672 dm³ Silber. Wie viel wiegt das?</v>
      </c>
      <c r="D37" s="248"/>
      <c r="E37" s="248"/>
      <c r="F37" s="248"/>
      <c r="G37" s="248"/>
      <c r="H37" s="248"/>
      <c r="I37" s="248"/>
      <c r="J37" s="248"/>
    </row>
    <row r="38" spans="2:10" ht="22.5" customHeight="1" x14ac:dyDescent="0.25">
      <c r="B38" s="238"/>
      <c r="C38" s="238"/>
      <c r="D38" s="238"/>
      <c r="E38" s="238"/>
      <c r="F38" s="238"/>
      <c r="G38" s="238"/>
      <c r="H38" s="238"/>
      <c r="I38" s="238"/>
      <c r="J38" s="238"/>
    </row>
    <row r="39" spans="2:10" x14ac:dyDescent="0.25">
      <c r="B39" s="44" t="s">
        <v>100</v>
      </c>
      <c r="C39" s="247" t="s">
        <v>90</v>
      </c>
      <c r="D39" s="247"/>
      <c r="E39" s="247"/>
      <c r="F39" s="247"/>
      <c r="G39" s="247"/>
      <c r="H39" s="247"/>
      <c r="I39" s="247"/>
      <c r="J39" s="247"/>
    </row>
    <row r="40" spans="2:10" ht="22.5" customHeight="1" x14ac:dyDescent="0.25">
      <c r="B40" s="238"/>
      <c r="C40" s="238"/>
      <c r="D40" s="238"/>
      <c r="E40" s="238"/>
      <c r="F40" s="238"/>
      <c r="G40" s="238"/>
      <c r="H40" s="238"/>
      <c r="I40" s="238"/>
      <c r="J40" s="238"/>
    </row>
    <row r="41" spans="2:10" x14ac:dyDescent="0.25">
      <c r="B41" s="241" t="s">
        <v>105</v>
      </c>
      <c r="C41" s="242"/>
      <c r="D41" s="47"/>
      <c r="E41" s="47"/>
      <c r="F41" s="47"/>
      <c r="G41" s="47"/>
      <c r="H41" s="47"/>
      <c r="I41" s="47"/>
      <c r="J41" s="19"/>
    </row>
    <row r="42" spans="2:10" x14ac:dyDescent="0.25">
      <c r="B42" s="243" t="s">
        <v>107</v>
      </c>
      <c r="C42" s="244"/>
      <c r="D42" s="245" t="s">
        <v>106</v>
      </c>
      <c r="E42" s="245"/>
      <c r="F42" s="245"/>
      <c r="G42" s="245"/>
      <c r="H42" s="245"/>
      <c r="I42" s="245"/>
      <c r="J42" s="246"/>
    </row>
    <row r="43" spans="2:10" x14ac:dyDescent="0.25">
      <c r="B43" s="233" t="s">
        <v>108</v>
      </c>
      <c r="C43" s="234"/>
      <c r="D43" s="235" t="s">
        <v>109</v>
      </c>
      <c r="E43" s="235"/>
      <c r="F43" s="235"/>
      <c r="G43" s="235"/>
      <c r="H43" s="235"/>
      <c r="I43" s="235"/>
      <c r="J43" s="236"/>
    </row>
  </sheetData>
  <sheetProtection algorithmName="SHA-512" hashValue="oyCpvN8c3flcEimUVWh8omGQ+/hr+9WOSGjWf6/rxzPI6B+1T3+Y8ztg4BxRJ4ygo/Y8indRrCE2hTr10BXNmA==" saltValue="UlVD07B9AwOfPsOHwDT9/w==" spinCount="100000" sheet="1" objects="1" scenarios="1" selectLockedCells="1"/>
  <mergeCells count="36">
    <mergeCell ref="B4:J4"/>
    <mergeCell ref="B6:J6"/>
    <mergeCell ref="B7:J7"/>
    <mergeCell ref="L9:M9"/>
    <mergeCell ref="L6:O7"/>
    <mergeCell ref="C17:J17"/>
    <mergeCell ref="C19:J19"/>
    <mergeCell ref="C21:J21"/>
    <mergeCell ref="C23:J23"/>
    <mergeCell ref="C25:J25"/>
    <mergeCell ref="C35:J35"/>
    <mergeCell ref="C37:J37"/>
    <mergeCell ref="C39:J39"/>
    <mergeCell ref="B18:J18"/>
    <mergeCell ref="B22:J22"/>
    <mergeCell ref="B24:J24"/>
    <mergeCell ref="B26:J26"/>
    <mergeCell ref="B28:J28"/>
    <mergeCell ref="C27:J27"/>
    <mergeCell ref="C29:J29"/>
    <mergeCell ref="B43:C43"/>
    <mergeCell ref="D43:J43"/>
    <mergeCell ref="G2:H2"/>
    <mergeCell ref="B20:J20"/>
    <mergeCell ref="B2:E2"/>
    <mergeCell ref="B41:C41"/>
    <mergeCell ref="B42:C42"/>
    <mergeCell ref="D42:J42"/>
    <mergeCell ref="B30:J30"/>
    <mergeCell ref="B32:J32"/>
    <mergeCell ref="B34:J34"/>
    <mergeCell ref="B36:J36"/>
    <mergeCell ref="B38:J38"/>
    <mergeCell ref="B40:J40"/>
    <mergeCell ref="C31:J31"/>
    <mergeCell ref="C33:J33"/>
  </mergeCells>
  <hyperlinks>
    <hyperlink ref="O10" r:id="rId1"/>
    <hyperlink ref="O11:O15" r:id="rId2" display="Internet"/>
    <hyperlink ref="O11" r:id="rId3"/>
    <hyperlink ref="O12" r:id="rId4"/>
    <hyperlink ref="O13" r:id="rId5"/>
    <hyperlink ref="O14" r:id="rId6"/>
    <hyperlink ref="O15" r:id="rId7"/>
  </hyperlinks>
  <pageMargins left="0.7" right="0.7" top="0.78740157499999996" bottom="0.78740157499999996" header="0.3" footer="0.3"/>
  <pageSetup paperSize="9" orientation="portrait" r:id="rId8"/>
  <headerFooter>
    <oddFooter>&amp;L&amp;"-,Fett Kursiv"&amp;10Franz Feldmann &amp;"-,Kursiv"&amp;9www.e13.ch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5"/>
  <sheetViews>
    <sheetView topLeftCell="B1" workbookViewId="0">
      <selection activeCell="W23" sqref="W23"/>
    </sheetView>
  </sheetViews>
  <sheetFormatPr baseColWidth="10" defaultRowHeight="15" x14ac:dyDescent="0.25"/>
  <cols>
    <col min="1" max="1" width="11.42578125" style="5"/>
    <col min="2" max="2" width="79.5703125" style="5" customWidth="1"/>
    <col min="3" max="3" width="14.7109375" style="5" customWidth="1"/>
    <col min="4" max="8" width="1.42578125" style="5" customWidth="1"/>
    <col min="9" max="9" width="22.42578125" style="5" customWidth="1"/>
    <col min="10" max="15" width="13" style="5" customWidth="1"/>
    <col min="16" max="16" width="3.140625" style="5" customWidth="1"/>
    <col min="17" max="17" width="20.5703125" style="5" customWidth="1"/>
    <col min="18" max="18" width="31.140625" style="5" customWidth="1"/>
    <col min="19" max="19" width="2.5703125" style="5" customWidth="1"/>
    <col min="20" max="20" width="19.140625" style="5" customWidth="1"/>
    <col min="21" max="21" width="36.42578125" style="5" customWidth="1"/>
    <col min="22" max="22" width="32.7109375" style="5" customWidth="1"/>
    <col min="23" max="23" width="13.85546875" style="5" customWidth="1"/>
    <col min="24" max="24" width="78.140625" style="5" customWidth="1"/>
    <col min="25" max="16384" width="11.42578125" style="5"/>
  </cols>
  <sheetData>
    <row r="1" spans="1:26" s="7" customFormat="1" ht="17.25" x14ac:dyDescent="0.25">
      <c r="A1" s="129" t="s">
        <v>52</v>
      </c>
      <c r="B1" s="7" t="str">
        <f t="shared" ref="B1:B31" ca="1" si="0">IF(A1="","",INDIRECT("x"&amp;MATCH(LARGE(Y$1:Y$31,ROW()),Y$1:Y$31,0)))</f>
        <v>Eine Firma bestellt 4159.4 Kilogramm Quarzglas. Wie gross ist das Volumen in m³?</v>
      </c>
      <c r="C1" s="7" t="str">
        <f t="shared" ref="C1:C31" ca="1" si="1">IF(A1="","",INDIRECT("W"&amp;MATCH(LARGE(Y$1:Y$31,ROW()),Y$1:Y$31,0)))</f>
        <v>1.890636 m³</v>
      </c>
      <c r="I1" s="7" t="s">
        <v>37</v>
      </c>
      <c r="J1" s="6" t="s">
        <v>42</v>
      </c>
      <c r="K1" s="7" t="s">
        <v>119</v>
      </c>
      <c r="L1" s="7" t="s">
        <v>40</v>
      </c>
      <c r="M1" s="7" t="s">
        <v>120</v>
      </c>
      <c r="N1" s="7" t="s">
        <v>43</v>
      </c>
      <c r="O1" s="7" t="s">
        <v>41</v>
      </c>
      <c r="T1" s="5" t="str">
        <f t="shared" ref="T1:T31" ca="1" si="2">CHOOSE(RANDBETWEEN(1,4),$Q$2,$Q$3,Q$4,$Q$5)</f>
        <v>Eine Firma bestellt</v>
      </c>
      <c r="U1" s="5" t="str">
        <f ca="1">CONCATENATE(M2," Tonnen ",I2,".")</f>
        <v>3.2532 Tonnen Aluminium.</v>
      </c>
      <c r="V1" s="5" t="str">
        <f>$R$2</f>
        <v>Wie gross ist das Volumen in dm³?</v>
      </c>
      <c r="W1" s="5" t="str">
        <f ca="1">CONCATENATE(N2," dm³")</f>
        <v>1200.442 dm³</v>
      </c>
      <c r="X1" s="5" t="str">
        <f t="shared" ref="X1:X31" ca="1" si="3">CONCATENATE(T1," ",U1," ",V1)</f>
        <v>Eine Firma bestellt 3.2532 Tonnen Aluminium. Wie gross ist das Volumen in dm³?</v>
      </c>
      <c r="Y1" s="7">
        <f ca="1">RANDBETWEEN(1,200000)</f>
        <v>18663</v>
      </c>
    </row>
    <row r="2" spans="1:26" x14ac:dyDescent="0.25">
      <c r="A2" s="129" t="s">
        <v>53</v>
      </c>
      <c r="B2" s="7" t="str">
        <f t="shared" ca="1" si="0"/>
        <v>Eine Firma kauft 5.79326 m³ Gummi (Kautschuk). Wie viele Tonnen sind das?</v>
      </c>
      <c r="C2" s="7" t="str">
        <f t="shared" ca="1" si="1"/>
        <v>5.3298 t</v>
      </c>
      <c r="I2" t="s">
        <v>12</v>
      </c>
      <c r="J2" s="3">
        <v>2.71</v>
      </c>
      <c r="K2" s="5">
        <f>J2</f>
        <v>2.71</v>
      </c>
      <c r="L2" s="5">
        <f ca="1">(RANDBETWEEN(2,150)/5)+RANDBETWEEN(2,9000)</f>
        <v>3253.2</v>
      </c>
      <c r="M2" s="5">
        <f ca="1">L2/1000</f>
        <v>3.2531999999999996</v>
      </c>
      <c r="N2" s="5">
        <f ca="1">TRUNC(L2/K2,3)</f>
        <v>1200.442</v>
      </c>
      <c r="O2" s="5">
        <f ca="1">N2/1000</f>
        <v>1.200442</v>
      </c>
      <c r="Q2" s="10" t="s">
        <v>44</v>
      </c>
      <c r="R2" s="10" t="s">
        <v>121</v>
      </c>
      <c r="T2" s="5" t="str">
        <f t="shared" ca="1" si="2"/>
        <v>Ein Händler bestellt</v>
      </c>
      <c r="U2" s="5" t="str">
        <f ca="1">CONCATENATE(L3," Kilogramm ",I3,".")</f>
        <v>1638.4 Kilogramm Beton.</v>
      </c>
      <c r="V2" s="5" t="str">
        <f>$R$3</f>
        <v>Wie gross ist das Volumen in m³?</v>
      </c>
      <c r="W2" s="5" t="str">
        <f ca="1">CONCATENATE(O3," m³")</f>
        <v>0.668734 m³</v>
      </c>
      <c r="X2" s="5" t="str">
        <f t="shared" ca="1" si="3"/>
        <v>Ein Händler bestellt 1638.4 Kilogramm Beton. Wie gross ist das Volumen in m³?</v>
      </c>
      <c r="Y2" s="7">
        <f t="shared" ref="Y2:Y31" ca="1" si="4">RANDBETWEEN(1,200000)</f>
        <v>158493</v>
      </c>
    </row>
    <row r="3" spans="1:26" x14ac:dyDescent="0.25">
      <c r="A3" s="129" t="s">
        <v>54</v>
      </c>
      <c r="B3" s="7" t="str">
        <f t="shared" ca="1" si="0"/>
        <v>Ein Händler bestellt 8.3002 Tonnen Plexiglas. Wie gross ist das Volumen in dm³?</v>
      </c>
      <c r="C3" s="7" t="str">
        <f t="shared" ca="1" si="1"/>
        <v>6974.957 dm³</v>
      </c>
      <c r="I3" t="s">
        <v>8</v>
      </c>
      <c r="J3" s="3">
        <v>2.4500000000000002</v>
      </c>
      <c r="K3" s="5">
        <f t="shared" ref="K3:K32" si="5">J3</f>
        <v>2.4500000000000002</v>
      </c>
      <c r="L3" s="5">
        <f t="shared" ref="L3:L32" ca="1" si="6">(RANDBETWEEN(2,150)/5)+RANDBETWEEN(2,9000)</f>
        <v>1638.4</v>
      </c>
      <c r="M3" s="5">
        <f t="shared" ref="M3:M32" ca="1" si="7">L3/1000</f>
        <v>1.6384000000000001</v>
      </c>
      <c r="N3" s="5">
        <f t="shared" ref="N3:N32" ca="1" si="8">TRUNC(L3/K3,3)</f>
        <v>668.73400000000004</v>
      </c>
      <c r="O3" s="5">
        <f t="shared" ref="O3:O32" ca="1" si="9">N3/1000</f>
        <v>0.66873400000000005</v>
      </c>
      <c r="Q3" s="10" t="s">
        <v>45</v>
      </c>
      <c r="R3" s="10" t="s">
        <v>122</v>
      </c>
      <c r="T3" s="5" t="str">
        <f t="shared" ca="1" si="2"/>
        <v>Eine Firma kauft</v>
      </c>
      <c r="U3" s="5" t="str">
        <f ca="1">CONCATENATE(N4," dm³ ",I4,".")</f>
        <v>635.449 dm³ Blei.</v>
      </c>
      <c r="V3" s="5" t="str">
        <f>$R$4</f>
        <v>Wie viele Kilogramm sind das?</v>
      </c>
      <c r="W3" s="5" t="str">
        <f ca="1">CONCATENATE(L4," kg")</f>
        <v>7206 kg</v>
      </c>
      <c r="X3" s="5" t="str">
        <f t="shared" ca="1" si="3"/>
        <v>Eine Firma kauft 635.449 dm³ Blei. Wie viele Kilogramm sind das?</v>
      </c>
      <c r="Y3" s="7">
        <f t="shared" ca="1" si="4"/>
        <v>27229</v>
      </c>
    </row>
    <row r="4" spans="1:26" x14ac:dyDescent="0.25">
      <c r="A4" s="129" t="s">
        <v>55</v>
      </c>
      <c r="B4" s="7" t="str">
        <f t="shared" ca="1" si="0"/>
        <v>Eine Firma bestellt 0.7527 m³ Kupfer. Wie viele Tonnen sind das?</v>
      </c>
      <c r="C4" s="7" t="str">
        <f t="shared" ca="1" si="1"/>
        <v>6.7442 t</v>
      </c>
      <c r="I4" t="s">
        <v>27</v>
      </c>
      <c r="J4" s="3">
        <v>11.34</v>
      </c>
      <c r="K4" s="5">
        <f t="shared" si="5"/>
        <v>11.34</v>
      </c>
      <c r="L4" s="5">
        <f t="shared" ca="1" si="6"/>
        <v>7206</v>
      </c>
      <c r="M4" s="5">
        <f t="shared" ca="1" si="7"/>
        <v>7.2060000000000004</v>
      </c>
      <c r="N4" s="5">
        <f t="shared" ca="1" si="8"/>
        <v>635.44899999999996</v>
      </c>
      <c r="O4" s="5">
        <f t="shared" ca="1" si="9"/>
        <v>0.63544899999999993</v>
      </c>
      <c r="Q4" s="10" t="s">
        <v>46</v>
      </c>
      <c r="R4" s="10" t="s">
        <v>123</v>
      </c>
      <c r="T4" s="5" t="str">
        <f t="shared" ca="1" si="2"/>
        <v>Eine Firma kauft</v>
      </c>
      <c r="U4" s="5" t="str">
        <f ca="1">CONCATENATE(O5," m³ ",I5,".")</f>
        <v>9.01675 m³ Eichenholz.</v>
      </c>
      <c r="V4" s="5" t="str">
        <f>$R$5</f>
        <v>Wie viele Tonnen sind das?</v>
      </c>
      <c r="W4" s="5" t="str">
        <f ca="1">CONCATENATE(M5," t")</f>
        <v>7.2134 t</v>
      </c>
      <c r="X4" s="5" t="str">
        <f t="shared" ca="1" si="3"/>
        <v>Eine Firma kauft 9.01675 m³ Eichenholz. Wie viele Tonnen sind das?</v>
      </c>
      <c r="Y4" s="7">
        <f t="shared" ca="1" si="4"/>
        <v>17897</v>
      </c>
    </row>
    <row r="5" spans="1:26" x14ac:dyDescent="0.25">
      <c r="A5" s="129" t="s">
        <v>56</v>
      </c>
      <c r="B5" s="7" t="str">
        <f t="shared" ca="1" si="0"/>
        <v>Ein Händler kauft 5.5174 Tonnen Gusseisen. Wie gross ist das Volumen in dm³?</v>
      </c>
      <c r="C5" s="7" t="str">
        <f t="shared" ca="1" si="1"/>
        <v>761.02 dm³</v>
      </c>
      <c r="I5" t="s">
        <v>2</v>
      </c>
      <c r="J5" s="3">
        <v>0.8</v>
      </c>
      <c r="K5" s="5">
        <f t="shared" si="5"/>
        <v>0.8</v>
      </c>
      <c r="L5" s="5">
        <f t="shared" ca="1" si="6"/>
        <v>7213.4</v>
      </c>
      <c r="M5" s="5">
        <f t="shared" ca="1" si="7"/>
        <v>7.2134</v>
      </c>
      <c r="N5" s="5">
        <f t="shared" ca="1" si="8"/>
        <v>9016.75</v>
      </c>
      <c r="O5" s="5">
        <f t="shared" ca="1" si="9"/>
        <v>9.01675</v>
      </c>
      <c r="Q5" s="10" t="s">
        <v>47</v>
      </c>
      <c r="R5" s="10" t="s">
        <v>124</v>
      </c>
      <c r="T5" s="5" t="str">
        <f t="shared" ca="1" si="2"/>
        <v>Ein Händler bestellt</v>
      </c>
      <c r="U5" s="5" t="str">
        <f ca="1">CONCATENATE(M6," Tonnen ",I6,".")</f>
        <v>0.5908 Tonnen Eis.</v>
      </c>
      <c r="V5" s="5" t="str">
        <f t="shared" ref="V5" si="10">$R$2</f>
        <v>Wie gross ist das Volumen in dm³?</v>
      </c>
      <c r="W5" s="5" t="str">
        <f ca="1">CONCATENATE(N6," dm³")</f>
        <v>644.274 dm³</v>
      </c>
      <c r="X5" s="5" t="str">
        <f t="shared" ca="1" si="3"/>
        <v>Ein Händler bestellt 0.5908 Tonnen Eis. Wie gross ist das Volumen in dm³?</v>
      </c>
      <c r="Y5" s="7">
        <f t="shared" ca="1" si="4"/>
        <v>87835</v>
      </c>
      <c r="Z5" s="7"/>
    </row>
    <row r="6" spans="1:26" x14ac:dyDescent="0.25">
      <c r="A6" s="129" t="s">
        <v>57</v>
      </c>
      <c r="B6" s="7" t="str">
        <f t="shared" ca="1" si="0"/>
        <v>Ein Händler bestellt 80.308 dm³ Quecksilber. Wie viele Kilogramm sind das?</v>
      </c>
      <c r="C6" s="7" t="str">
        <f t="shared" ca="1" si="1"/>
        <v>1091.8 kg</v>
      </c>
      <c r="I6" t="s">
        <v>126</v>
      </c>
      <c r="J6" s="3">
        <v>0.91700000000000004</v>
      </c>
      <c r="K6" s="5">
        <f t="shared" si="5"/>
        <v>0.91700000000000004</v>
      </c>
      <c r="L6" s="5">
        <f t="shared" ca="1" si="6"/>
        <v>590.79999999999995</v>
      </c>
      <c r="M6" s="5">
        <f t="shared" ca="1" si="7"/>
        <v>0.59079999999999999</v>
      </c>
      <c r="N6" s="5">
        <f t="shared" ca="1" si="8"/>
        <v>644.274</v>
      </c>
      <c r="O6" s="5">
        <f t="shared" ca="1" si="9"/>
        <v>0.64427400000000001</v>
      </c>
      <c r="T6" s="5" t="str">
        <f t="shared" ca="1" si="2"/>
        <v>Eine Firma bestellt</v>
      </c>
      <c r="U6" s="5" t="str">
        <f ca="1">CONCATENATE(L7," Kilogramm ",I7,".")</f>
        <v>1838.8 Kilogramm Eisen.</v>
      </c>
      <c r="V6" s="5" t="str">
        <f t="shared" ref="V6" si="11">$R$3</f>
        <v>Wie gross ist das Volumen in m³?</v>
      </c>
      <c r="W6" s="5" t="str">
        <f ca="1">CONCATENATE(O7," m³")</f>
        <v>0.233944 m³</v>
      </c>
      <c r="X6" s="5" t="str">
        <f t="shared" ca="1" si="3"/>
        <v>Eine Firma bestellt 1838.8 Kilogramm Eisen. Wie gross ist das Volumen in m³?</v>
      </c>
      <c r="Y6" s="7">
        <f t="shared" ca="1" si="4"/>
        <v>94113</v>
      </c>
    </row>
    <row r="7" spans="1:26" x14ac:dyDescent="0.25">
      <c r="A7" s="129" t="s">
        <v>58</v>
      </c>
      <c r="B7" s="7" t="str">
        <f t="shared" ca="1" si="0"/>
        <v>Eine Firma kauft 888.75 dm³ Kork. Wie viele Kilogramm sind das?</v>
      </c>
      <c r="C7" s="7" t="str">
        <f t="shared" ca="1" si="1"/>
        <v>426.6 kg</v>
      </c>
      <c r="I7" t="s">
        <v>32</v>
      </c>
      <c r="J7" s="3">
        <v>7.86</v>
      </c>
      <c r="K7" s="5">
        <f t="shared" si="5"/>
        <v>7.86</v>
      </c>
      <c r="L7" s="5">
        <f t="shared" ca="1" si="6"/>
        <v>1838.8</v>
      </c>
      <c r="M7" s="5">
        <f t="shared" ca="1" si="7"/>
        <v>1.8388</v>
      </c>
      <c r="N7" s="5">
        <f t="shared" ca="1" si="8"/>
        <v>233.94399999999999</v>
      </c>
      <c r="O7" s="5">
        <f t="shared" ca="1" si="9"/>
        <v>0.23394399999999999</v>
      </c>
      <c r="T7" s="5" t="str">
        <f t="shared" ca="1" si="2"/>
        <v>Eine Firma kauft</v>
      </c>
      <c r="U7" s="5" t="str">
        <f ca="1">CONCATENATE(N8," dm³ ",I8,".")</f>
        <v>1055.584 dm³ Eisenstahl.</v>
      </c>
      <c r="V7" s="5" t="str">
        <f t="shared" ref="V7" si="12">$R$4</f>
        <v>Wie viele Kilogramm sind das?</v>
      </c>
      <c r="W7" s="5" t="str">
        <f ca="1">CONCATENATE(L8," kg")</f>
        <v>8128 kg</v>
      </c>
      <c r="X7" s="5" t="str">
        <f t="shared" ca="1" si="3"/>
        <v>Eine Firma kauft 1055.584 dm³ Eisenstahl. Wie viele Kilogramm sind das?</v>
      </c>
      <c r="Y7" s="7">
        <f t="shared" ca="1" si="4"/>
        <v>134904</v>
      </c>
    </row>
    <row r="8" spans="1:26" x14ac:dyDescent="0.25">
      <c r="A8" s="129" t="s">
        <v>59</v>
      </c>
      <c r="B8" s="7" t="str">
        <f t="shared" ca="1" si="0"/>
        <v>Ein Händler bestellt 1638.4 Kilogramm Beton. Wie gross ist das Volumen in m³?</v>
      </c>
      <c r="C8" s="7" t="str">
        <f t="shared" ca="1" si="1"/>
        <v>0.668734 m³</v>
      </c>
      <c r="I8" t="s">
        <v>20</v>
      </c>
      <c r="J8" s="3">
        <v>7.7</v>
      </c>
      <c r="K8" s="5">
        <f t="shared" si="5"/>
        <v>7.7</v>
      </c>
      <c r="L8" s="5">
        <f t="shared" ca="1" si="6"/>
        <v>8128</v>
      </c>
      <c r="M8" s="5">
        <f t="shared" ca="1" si="7"/>
        <v>8.1280000000000001</v>
      </c>
      <c r="N8" s="5">
        <f t="shared" ca="1" si="8"/>
        <v>1055.5840000000001</v>
      </c>
      <c r="O8" s="5">
        <f t="shared" ca="1" si="9"/>
        <v>1.0555840000000001</v>
      </c>
      <c r="T8" s="5" t="str">
        <f t="shared" ca="1" si="2"/>
        <v>Ein Händler bestellt</v>
      </c>
      <c r="U8" s="5" t="str">
        <f ca="1">CONCATENATE(O9," m³ ",I9,".")</f>
        <v>1.0808 m³ Fensterglas.</v>
      </c>
      <c r="V8" s="5" t="str">
        <f t="shared" ref="V8" si="13">$R$5</f>
        <v>Wie viele Tonnen sind das?</v>
      </c>
      <c r="W8" s="5" t="str">
        <f ca="1">CONCATENATE(M9," t")</f>
        <v>2.702 t</v>
      </c>
      <c r="X8" s="5" t="str">
        <f t="shared" ca="1" si="3"/>
        <v>Ein Händler bestellt 1.0808 m³ Fensterglas. Wie viele Tonnen sind das?</v>
      </c>
      <c r="Y8" s="7">
        <f t="shared" ca="1" si="4"/>
        <v>14044</v>
      </c>
    </row>
    <row r="9" spans="1:26" x14ac:dyDescent="0.25">
      <c r="A9" s="129" t="s">
        <v>60</v>
      </c>
      <c r="B9" s="7" t="str">
        <f t="shared" ca="1" si="0"/>
        <v>Ein Händler kauft 1373.642 dm³ Granit. Wie viele Kilogramm sind das?</v>
      </c>
      <c r="C9" s="7" t="str">
        <f t="shared" ca="1" si="1"/>
        <v>3846.2 kg</v>
      </c>
      <c r="I9" t="s">
        <v>11</v>
      </c>
      <c r="J9" s="3">
        <v>2.5</v>
      </c>
      <c r="K9" s="5">
        <f t="shared" si="5"/>
        <v>2.5</v>
      </c>
      <c r="L9" s="5">
        <f t="shared" ca="1" si="6"/>
        <v>2702</v>
      </c>
      <c r="M9" s="5">
        <f t="shared" ca="1" si="7"/>
        <v>2.702</v>
      </c>
      <c r="N9" s="5">
        <f t="shared" ca="1" si="8"/>
        <v>1080.8</v>
      </c>
      <c r="O9" s="5">
        <f t="shared" ca="1" si="9"/>
        <v>1.0808</v>
      </c>
      <c r="T9" s="5" t="str">
        <f t="shared" ca="1" si="2"/>
        <v>Eine Firma bestellt</v>
      </c>
      <c r="U9" s="5" t="str">
        <f ca="1">CONCATENATE(M10," Tonnen ",I10,".")</f>
        <v>7.8964 Tonnen Fichtenholz.</v>
      </c>
      <c r="V9" s="5" t="str">
        <f t="shared" ref="V9" si="14">$R$2</f>
        <v>Wie gross ist das Volumen in dm³?</v>
      </c>
      <c r="W9" s="5" t="str">
        <f ca="1">CONCATENATE(N10," dm³")</f>
        <v>15792.8 dm³</v>
      </c>
      <c r="X9" s="5" t="str">
        <f t="shared" ca="1" si="3"/>
        <v>Eine Firma bestellt 7.8964 Tonnen Fichtenholz. Wie gross ist das Volumen in dm³?</v>
      </c>
      <c r="Y9" s="7">
        <f t="shared" ca="1" si="4"/>
        <v>4563</v>
      </c>
      <c r="Z9" s="7"/>
    </row>
    <row r="10" spans="1:26" x14ac:dyDescent="0.25">
      <c r="A10" s="129" t="s">
        <v>61</v>
      </c>
      <c r="B10" s="7" t="str">
        <f t="shared" ca="1" si="0"/>
        <v>Ein Händler kauft 2294.4 Kilogramm Kohlenstoff . Wie gross ist das Volumen in m³?</v>
      </c>
      <c r="C10" s="7" t="str">
        <f t="shared" ca="1" si="1"/>
        <v>1.019733 m³</v>
      </c>
      <c r="I10" t="s">
        <v>1</v>
      </c>
      <c r="J10" s="3">
        <v>0.5</v>
      </c>
      <c r="K10" s="5">
        <f t="shared" si="5"/>
        <v>0.5</v>
      </c>
      <c r="L10" s="5">
        <f t="shared" ca="1" si="6"/>
        <v>7896.4</v>
      </c>
      <c r="M10" s="5">
        <f t="shared" ca="1" si="7"/>
        <v>7.8963999999999999</v>
      </c>
      <c r="N10" s="5">
        <f t="shared" ca="1" si="8"/>
        <v>15792.8</v>
      </c>
      <c r="O10" s="5">
        <f t="shared" ca="1" si="9"/>
        <v>15.7928</v>
      </c>
      <c r="T10" s="5" t="str">
        <f t="shared" ca="1" si="2"/>
        <v>Ein Händler kauft</v>
      </c>
      <c r="U10" s="5" t="str">
        <f ca="1">CONCATENATE(L11," Kilogramm ",I11,".")</f>
        <v>1126.4 Kilogramm Gips.</v>
      </c>
      <c r="V10" s="5" t="str">
        <f t="shared" ref="V10" si="15">$R$3</f>
        <v>Wie gross ist das Volumen in m³?</v>
      </c>
      <c r="W10" s="5" t="str">
        <f ca="1">CONCATENATE(O11," m³")</f>
        <v>0.489739 m³</v>
      </c>
      <c r="X10" s="5" t="str">
        <f t="shared" ca="1" si="3"/>
        <v>Ein Händler kauft 1126.4 Kilogramm Gips. Wie gross ist das Volumen in m³?</v>
      </c>
      <c r="Y10" s="7">
        <f t="shared" ca="1" si="4"/>
        <v>102966</v>
      </c>
    </row>
    <row r="11" spans="1:26" x14ac:dyDescent="0.25">
      <c r="A11" s="129" t="s">
        <v>62</v>
      </c>
      <c r="B11" s="7" t="str">
        <f t="shared" ca="1" si="0"/>
        <v>Ein Händler bestellt 1187.884 dm³ Zinn. Wie viele Kilogramm sind das?</v>
      </c>
      <c r="C11" s="7" t="str">
        <f t="shared" ca="1" si="1"/>
        <v>8647.8 kg</v>
      </c>
      <c r="I11" t="s">
        <v>10</v>
      </c>
      <c r="J11" s="3">
        <v>2.2999999999999998</v>
      </c>
      <c r="K11" s="5">
        <f t="shared" si="5"/>
        <v>2.2999999999999998</v>
      </c>
      <c r="L11" s="5">
        <f t="shared" ca="1" si="6"/>
        <v>1126.4000000000001</v>
      </c>
      <c r="M11" s="5">
        <f t="shared" ca="1" si="7"/>
        <v>1.1264000000000001</v>
      </c>
      <c r="N11" s="5">
        <f t="shared" ca="1" si="8"/>
        <v>489.73899999999998</v>
      </c>
      <c r="O11" s="5">
        <f t="shared" ca="1" si="9"/>
        <v>0.48973899999999998</v>
      </c>
      <c r="T11" s="5" t="str">
        <f t="shared" ca="1" si="2"/>
        <v>Ein Händler kauft</v>
      </c>
      <c r="U11" s="5" t="str">
        <f ca="1">CONCATENATE(N12," dm³ ",I12,".")</f>
        <v>1373.642 dm³ Granit.</v>
      </c>
      <c r="V11" s="5" t="str">
        <f t="shared" ref="V11" si="16">$R$4</f>
        <v>Wie viele Kilogramm sind das?</v>
      </c>
      <c r="W11" s="5" t="str">
        <f ca="1">CONCATENATE(L12," kg")</f>
        <v>3846.2 kg</v>
      </c>
      <c r="X11" s="5" t="str">
        <f t="shared" ca="1" si="3"/>
        <v>Ein Händler kauft 1373.642 dm³ Granit. Wie viele Kilogramm sind das?</v>
      </c>
      <c r="Y11" s="7">
        <f t="shared" ca="1" si="4"/>
        <v>152951</v>
      </c>
    </row>
    <row r="12" spans="1:26" x14ac:dyDescent="0.25">
      <c r="A12" s="129" t="s">
        <v>63</v>
      </c>
      <c r="B12" s="7" t="str">
        <f t="shared" ca="1" si="0"/>
        <v>Eine Firma kauft 3.0724 Tonnen Magnesium. Wie gross ist das Volumen in dm³?</v>
      </c>
      <c r="C12" s="7" t="str">
        <f t="shared" ca="1" si="1"/>
        <v>1767.779 dm³</v>
      </c>
      <c r="I12" t="s">
        <v>13</v>
      </c>
      <c r="J12" s="3">
        <v>2.8</v>
      </c>
      <c r="K12" s="5">
        <f t="shared" si="5"/>
        <v>2.8</v>
      </c>
      <c r="L12" s="5">
        <f t="shared" ca="1" si="6"/>
        <v>3846.2</v>
      </c>
      <c r="M12" s="5">
        <f t="shared" ca="1" si="7"/>
        <v>3.8461999999999996</v>
      </c>
      <c r="N12" s="5">
        <f t="shared" ca="1" si="8"/>
        <v>1373.6420000000001</v>
      </c>
      <c r="O12" s="5">
        <f t="shared" ca="1" si="9"/>
        <v>1.373642</v>
      </c>
      <c r="T12" s="5" t="str">
        <f t="shared" ca="1" si="2"/>
        <v>Eine Firma kauft</v>
      </c>
      <c r="U12" s="5" t="str">
        <f ca="1">CONCATENATE(O13," m³ ",I13,".")</f>
        <v>5.79326 m³ Gummi (Kautschuk).</v>
      </c>
      <c r="V12" s="5" t="str">
        <f t="shared" ref="V12" si="17">$R$5</f>
        <v>Wie viele Tonnen sind das?</v>
      </c>
      <c r="W12" s="5" t="str">
        <f ca="1">CONCATENATE(M13," t")</f>
        <v>5.3298 t</v>
      </c>
      <c r="X12" s="5" t="str">
        <f t="shared" ca="1" si="3"/>
        <v>Eine Firma kauft 5.79326 m³ Gummi (Kautschuk). Wie viele Tonnen sind das?</v>
      </c>
      <c r="Y12" s="7">
        <f t="shared" ca="1" si="4"/>
        <v>187299</v>
      </c>
    </row>
    <row r="13" spans="1:26" x14ac:dyDescent="0.25">
      <c r="A13" s="129" t="s">
        <v>64</v>
      </c>
      <c r="B13" s="7" t="str">
        <f t="shared" ca="1" si="0"/>
        <v>Eine Firma kauft 1055.584 dm³ Eisenstahl. Wie viele Kilogramm sind das?</v>
      </c>
      <c r="C13" s="7" t="str">
        <f t="shared" ca="1" si="1"/>
        <v>8128 kg</v>
      </c>
      <c r="I13" s="4" t="s">
        <v>4</v>
      </c>
      <c r="J13" s="3">
        <v>0.92</v>
      </c>
      <c r="K13" s="5">
        <f t="shared" si="5"/>
        <v>0.92</v>
      </c>
      <c r="L13" s="5">
        <f t="shared" ca="1" si="6"/>
        <v>5329.8</v>
      </c>
      <c r="M13" s="5">
        <f t="shared" ca="1" si="7"/>
        <v>5.3298000000000005</v>
      </c>
      <c r="N13" s="5">
        <f t="shared" ca="1" si="8"/>
        <v>5793.26</v>
      </c>
      <c r="O13" s="5">
        <f t="shared" ca="1" si="9"/>
        <v>5.7932600000000001</v>
      </c>
      <c r="T13" s="5" t="str">
        <f t="shared" ca="1" si="2"/>
        <v>Ein Händler kauft</v>
      </c>
      <c r="U13" s="5" t="str">
        <f ca="1">CONCATENATE(M14," Tonnen ",I14,".")</f>
        <v>5.5174 Tonnen Gusseisen.</v>
      </c>
      <c r="V13" s="5" t="str">
        <f t="shared" ref="V13" si="18">$R$2</f>
        <v>Wie gross ist das Volumen in dm³?</v>
      </c>
      <c r="W13" s="5" t="str">
        <f ca="1">CONCATENATE(N14," dm³")</f>
        <v>761.02 dm³</v>
      </c>
      <c r="X13" s="5" t="str">
        <f t="shared" ca="1" si="3"/>
        <v>Ein Händler kauft 5.5174 Tonnen Gusseisen. Wie gross ist das Volumen in dm³?</v>
      </c>
      <c r="Y13" s="7">
        <f t="shared" ca="1" si="4"/>
        <v>164446</v>
      </c>
      <c r="Z13" s="7"/>
    </row>
    <row r="14" spans="1:26" x14ac:dyDescent="0.25">
      <c r="A14" s="129" t="s">
        <v>65</v>
      </c>
      <c r="B14" s="7" t="str">
        <f t="shared" ca="1" si="0"/>
        <v>Eine Firma bestellt 2.307922 m³ Schwefel. Wie viele Tonnen sind das?</v>
      </c>
      <c r="C14" s="7" t="str">
        <f t="shared" ca="1" si="1"/>
        <v>4.7774 t</v>
      </c>
      <c r="I14" t="s">
        <v>18</v>
      </c>
      <c r="J14" s="3">
        <v>7.25</v>
      </c>
      <c r="K14" s="5">
        <f t="shared" si="5"/>
        <v>7.25</v>
      </c>
      <c r="L14" s="5">
        <f t="shared" ca="1" si="6"/>
        <v>5517.4</v>
      </c>
      <c r="M14" s="5">
        <f t="shared" ca="1" si="7"/>
        <v>5.5173999999999994</v>
      </c>
      <c r="N14" s="5">
        <f t="shared" ca="1" si="8"/>
        <v>761.02</v>
      </c>
      <c r="O14" s="5">
        <f t="shared" ca="1" si="9"/>
        <v>0.76102000000000003</v>
      </c>
      <c r="T14" s="5" t="str">
        <f t="shared" ca="1" si="2"/>
        <v>Ein Händler kauft</v>
      </c>
      <c r="U14" s="5" t="str">
        <f ca="1">CONCATENATE(L15," Kilogramm ",I15,".")</f>
        <v>2294.4 Kilogramm Kohlenstoff .</v>
      </c>
      <c r="V14" s="5" t="str">
        <f t="shared" ref="V14" si="19">$R$3</f>
        <v>Wie gross ist das Volumen in m³?</v>
      </c>
      <c r="W14" s="5" t="str">
        <f ca="1">CONCATENATE(O15," m³")</f>
        <v>1.019733 m³</v>
      </c>
      <c r="X14" s="5" t="str">
        <f t="shared" ca="1" si="3"/>
        <v>Ein Händler kauft 2294.4 Kilogramm Kohlenstoff . Wie gross ist das Volumen in m³?</v>
      </c>
      <c r="Y14" s="7">
        <f t="shared" ca="1" si="4"/>
        <v>152255</v>
      </c>
    </row>
    <row r="15" spans="1:26" x14ac:dyDescent="0.25">
      <c r="A15" s="129" t="s">
        <v>66</v>
      </c>
      <c r="B15" s="7" t="str">
        <f t="shared" ca="1" si="0"/>
        <v>Ein Händler bestellt 4803.407 dm³ Steinkohle. Wie viele Kilogramm sind das?</v>
      </c>
      <c r="C15" s="7" t="str">
        <f t="shared" ca="1" si="1"/>
        <v>6484.6 kg</v>
      </c>
      <c r="I15" s="4" t="s">
        <v>31</v>
      </c>
      <c r="J15" s="3">
        <v>2.25</v>
      </c>
      <c r="K15" s="5">
        <f t="shared" si="5"/>
        <v>2.25</v>
      </c>
      <c r="L15" s="5">
        <f t="shared" ca="1" si="6"/>
        <v>2294.4</v>
      </c>
      <c r="M15" s="5">
        <f t="shared" ca="1" si="7"/>
        <v>2.2944</v>
      </c>
      <c r="N15" s="5">
        <f t="shared" ca="1" si="8"/>
        <v>1019.7329999999999</v>
      </c>
      <c r="O15" s="5">
        <f t="shared" ca="1" si="9"/>
        <v>1.019733</v>
      </c>
      <c r="T15" s="5" t="str">
        <f t="shared" ca="1" si="2"/>
        <v>Eine Firma kauft</v>
      </c>
      <c r="U15" s="5" t="str">
        <f ca="1">CONCATENATE(N16," dm³ ",I16,".")</f>
        <v>888.75 dm³ Kork.</v>
      </c>
      <c r="V15" s="5" t="str">
        <f t="shared" ref="V15" si="20">$R$4</f>
        <v>Wie viele Kilogramm sind das?</v>
      </c>
      <c r="W15" s="5" t="str">
        <f ca="1">CONCATENATE(L16," kg")</f>
        <v>426.6 kg</v>
      </c>
      <c r="X15" s="5" t="str">
        <f t="shared" ca="1" si="3"/>
        <v>Eine Firma kauft 888.75 dm³ Kork. Wie viele Kilogramm sind das?</v>
      </c>
      <c r="Y15" s="7">
        <f t="shared" ca="1" si="4"/>
        <v>164135</v>
      </c>
    </row>
    <row r="16" spans="1:26" x14ac:dyDescent="0.25">
      <c r="A16" s="129" t="s">
        <v>67</v>
      </c>
      <c r="B16" s="7" t="str">
        <f t="shared" ca="1" si="0"/>
        <v>Ein Händler kauft 3.6564 m³ Wasser (bei 0 °C). Wie viele Tonnen sind das?</v>
      </c>
      <c r="C16" s="7" t="str">
        <f t="shared" ca="1" si="1"/>
        <v>3.6564 t</v>
      </c>
      <c r="I16" t="s">
        <v>0</v>
      </c>
      <c r="J16" s="3">
        <v>0.48</v>
      </c>
      <c r="K16" s="5">
        <f t="shared" si="5"/>
        <v>0.48</v>
      </c>
      <c r="L16" s="5">
        <f t="shared" ca="1" si="6"/>
        <v>426.6</v>
      </c>
      <c r="M16" s="5">
        <f t="shared" ca="1" si="7"/>
        <v>0.42660000000000003</v>
      </c>
      <c r="N16" s="5">
        <f t="shared" ca="1" si="8"/>
        <v>888.75</v>
      </c>
      <c r="O16" s="5">
        <f t="shared" ca="1" si="9"/>
        <v>0.88875000000000004</v>
      </c>
      <c r="T16" s="5" t="str">
        <f t="shared" ca="1" si="2"/>
        <v>Eine Firma bestellt</v>
      </c>
      <c r="U16" s="5" t="str">
        <f ca="1">CONCATENATE(O17," m³ ",I17,".")</f>
        <v>0.7527 m³ Kupfer.</v>
      </c>
      <c r="V16" s="5" t="str">
        <f t="shared" ref="V16" si="21">$R$5</f>
        <v>Wie viele Tonnen sind das?</v>
      </c>
      <c r="W16" s="5" t="str">
        <f ca="1">CONCATENATE(M17," t")</f>
        <v>6.7442 t</v>
      </c>
      <c r="X16" s="5" t="str">
        <f t="shared" ca="1" si="3"/>
        <v>Eine Firma bestellt 0.7527 m³ Kupfer. Wie viele Tonnen sind das?</v>
      </c>
      <c r="Y16" s="7">
        <f t="shared" ca="1" si="4"/>
        <v>170336</v>
      </c>
    </row>
    <row r="17" spans="1:26" x14ac:dyDescent="0.25">
      <c r="A17" s="129" t="s">
        <v>68</v>
      </c>
      <c r="B17" s="7" t="str">
        <f t="shared" ca="1" si="0"/>
        <v>Ein Händler kauft 1126.4 Kilogramm Gips. Wie gross ist das Volumen in m³?</v>
      </c>
      <c r="C17" s="7" t="str">
        <f t="shared" ca="1" si="1"/>
        <v>0.489739 m³</v>
      </c>
      <c r="I17" t="s">
        <v>25</v>
      </c>
      <c r="J17" s="3">
        <v>8.9600000000000009</v>
      </c>
      <c r="K17" s="5">
        <f t="shared" si="5"/>
        <v>8.9600000000000009</v>
      </c>
      <c r="L17" s="5">
        <f t="shared" ca="1" si="6"/>
        <v>6744.2</v>
      </c>
      <c r="M17" s="5">
        <f t="shared" ca="1" si="7"/>
        <v>6.7442000000000002</v>
      </c>
      <c r="N17" s="5">
        <f t="shared" ca="1" si="8"/>
        <v>752.7</v>
      </c>
      <c r="O17" s="5">
        <f t="shared" ca="1" si="9"/>
        <v>0.75270000000000004</v>
      </c>
      <c r="T17" s="5" t="str">
        <f t="shared" ca="1" si="2"/>
        <v>Eine Firma kauft</v>
      </c>
      <c r="U17" s="5" t="str">
        <f ca="1">CONCATENATE(M18," Tonnen ",I18,".")</f>
        <v>3.0724 Tonnen Magnesium.</v>
      </c>
      <c r="V17" s="5" t="str">
        <f t="shared" ref="V17" si="22">$R$2</f>
        <v>Wie gross ist das Volumen in dm³?</v>
      </c>
      <c r="W17" s="5" t="str">
        <f ca="1">CONCATENATE(N18," dm³")</f>
        <v>1767.779 dm³</v>
      </c>
      <c r="X17" s="5" t="str">
        <f t="shared" ca="1" si="3"/>
        <v>Eine Firma kauft 3.0724 Tonnen Magnesium. Wie gross ist das Volumen in dm³?</v>
      </c>
      <c r="Y17" s="7">
        <f t="shared" ca="1" si="4"/>
        <v>135316</v>
      </c>
      <c r="Z17" s="7"/>
    </row>
    <row r="18" spans="1:26" x14ac:dyDescent="0.25">
      <c r="A18" s="129" t="s">
        <v>69</v>
      </c>
      <c r="B18" s="7" t="str">
        <f t="shared" ca="1" si="0"/>
        <v>Eine Firma bestellt 1838.8 Kilogramm Eisen. Wie gross ist das Volumen in m³?</v>
      </c>
      <c r="C18" s="7" t="str">
        <f t="shared" ca="1" si="1"/>
        <v>0.233944 m³</v>
      </c>
      <c r="I18" t="s">
        <v>7</v>
      </c>
      <c r="J18" s="3">
        <v>1.738</v>
      </c>
      <c r="K18" s="5">
        <f t="shared" si="5"/>
        <v>1.738</v>
      </c>
      <c r="L18" s="5">
        <f t="shared" ca="1" si="6"/>
        <v>3072.4</v>
      </c>
      <c r="M18" s="5">
        <f t="shared" ca="1" si="7"/>
        <v>3.0724</v>
      </c>
      <c r="N18" s="5">
        <f t="shared" ca="1" si="8"/>
        <v>1767.779</v>
      </c>
      <c r="O18" s="5">
        <f t="shared" ca="1" si="9"/>
        <v>1.767779</v>
      </c>
      <c r="T18" s="5" t="str">
        <f t="shared" ca="1" si="2"/>
        <v>Eine Firma kauft</v>
      </c>
      <c r="U18" s="5" t="str">
        <f ca="1">CONCATENATE(L19," Kilogramm ",I19,".")</f>
        <v>5032.8 Kilogramm Messing.</v>
      </c>
      <c r="V18" s="5" t="str">
        <f t="shared" ref="V18" si="23">$R$3</f>
        <v>Wie gross ist das Volumen in m³?</v>
      </c>
      <c r="W18" s="5" t="str">
        <f ca="1">CONCATENATE(O19," m³")</f>
        <v>0.621333 m³</v>
      </c>
      <c r="X18" s="5" t="str">
        <f t="shared" ca="1" si="3"/>
        <v>Eine Firma kauft 5032.8 Kilogramm Messing. Wie gross ist das Volumen in m³?</v>
      </c>
      <c r="Y18" s="7">
        <f t="shared" ca="1" si="4"/>
        <v>24535</v>
      </c>
    </row>
    <row r="19" spans="1:26" x14ac:dyDescent="0.25">
      <c r="A19" s="129" t="s">
        <v>70</v>
      </c>
      <c r="B19" s="7" t="str">
        <f t="shared" ca="1" si="0"/>
        <v>Ein Händler bestellt 5218 Kilogramm Stahl unlegiert. Wie gross ist das Volumen in m³?</v>
      </c>
      <c r="C19" s="7" t="str">
        <f t="shared" ca="1" si="1"/>
        <v>0.664713 m³</v>
      </c>
      <c r="I19" t="s">
        <v>23</v>
      </c>
      <c r="J19" s="3">
        <v>8.1</v>
      </c>
      <c r="K19" s="5">
        <f t="shared" si="5"/>
        <v>8.1</v>
      </c>
      <c r="L19" s="5">
        <f t="shared" ca="1" si="6"/>
        <v>5032.8</v>
      </c>
      <c r="M19" s="5">
        <f t="shared" ca="1" si="7"/>
        <v>5.0327999999999999</v>
      </c>
      <c r="N19" s="5">
        <f t="shared" ca="1" si="8"/>
        <v>621.33299999999997</v>
      </c>
      <c r="O19" s="5">
        <f t="shared" ca="1" si="9"/>
        <v>0.62133300000000002</v>
      </c>
      <c r="T19" s="5" t="str">
        <f t="shared" ca="1" si="2"/>
        <v>Eine Firma bestellt</v>
      </c>
      <c r="U19" s="5" t="str">
        <f ca="1">CONCATENATE(N20," dm³ ",I20,".")</f>
        <v>624.691 dm³ Nickel.</v>
      </c>
      <c r="V19" s="5" t="str">
        <f t="shared" ref="V19" si="24">$R$4</f>
        <v>Wie viele Kilogramm sind das?</v>
      </c>
      <c r="W19" s="5" t="str">
        <f ca="1">CONCATENATE(L20," kg")</f>
        <v>5566 kg</v>
      </c>
      <c r="X19" s="5" t="str">
        <f t="shared" ca="1" si="3"/>
        <v>Eine Firma bestellt 624.691 dm³ Nickel. Wie viele Kilogramm sind das?</v>
      </c>
      <c r="Y19" s="7">
        <f t="shared" ca="1" si="4"/>
        <v>43350</v>
      </c>
    </row>
    <row r="20" spans="1:26" x14ac:dyDescent="0.25">
      <c r="A20" s="129" t="s">
        <v>71</v>
      </c>
      <c r="B20" s="7" t="str">
        <f t="shared" ca="1" si="0"/>
        <v>Ein Händler bestellt 0.5908 Tonnen Eis. Wie gross ist das Volumen in dm³?</v>
      </c>
      <c r="C20" s="7" t="str">
        <f t="shared" ca="1" si="1"/>
        <v>644.274 dm³</v>
      </c>
      <c r="I20" t="s">
        <v>24</v>
      </c>
      <c r="J20" s="3">
        <v>8.91</v>
      </c>
      <c r="K20" s="5">
        <f t="shared" si="5"/>
        <v>8.91</v>
      </c>
      <c r="L20" s="5">
        <f t="shared" ca="1" si="6"/>
        <v>5566</v>
      </c>
      <c r="M20" s="5">
        <f t="shared" ca="1" si="7"/>
        <v>5.5659999999999998</v>
      </c>
      <c r="N20" s="5">
        <f t="shared" ca="1" si="8"/>
        <v>624.69100000000003</v>
      </c>
      <c r="O20" s="5">
        <f t="shared" ca="1" si="9"/>
        <v>0.624691</v>
      </c>
      <c r="T20" s="5" t="str">
        <f t="shared" ca="1" si="2"/>
        <v>Eine Firma bestellt</v>
      </c>
      <c r="U20" s="5" t="str">
        <f ca="1">CONCATENATE(O21," m³ ",I21,".")</f>
        <v>4.116 m³ Papier Büroqualität.</v>
      </c>
      <c r="V20" s="5" t="str">
        <f t="shared" ref="V20" si="25">$R$5</f>
        <v>Wie viele Tonnen sind das?</v>
      </c>
      <c r="W20" s="5" t="str">
        <f ca="1">CONCATENATE(M21," t")</f>
        <v>3.2928 t</v>
      </c>
      <c r="X20" s="5" t="str">
        <f t="shared" ca="1" si="3"/>
        <v>Eine Firma bestellt 4.116 m³ Papier Büroqualität. Wie viele Tonnen sind das?</v>
      </c>
      <c r="Y20" s="7">
        <f t="shared" ca="1" si="4"/>
        <v>28623</v>
      </c>
    </row>
    <row r="21" spans="1:26" x14ac:dyDescent="0.25">
      <c r="A21" s="129" t="s">
        <v>72</v>
      </c>
      <c r="B21" s="7" t="str">
        <f t="shared" ca="1" si="0"/>
        <v>Ein Händler kauft 541.6 Kilogramm Zink. Wie gross ist das Volumen in m³?</v>
      </c>
      <c r="C21" s="7" t="str">
        <f t="shared" ca="1" si="1"/>
        <v>0.07596 m³</v>
      </c>
      <c r="I21" t="s">
        <v>39</v>
      </c>
      <c r="J21" s="3">
        <v>0.8</v>
      </c>
      <c r="K21" s="5">
        <f t="shared" si="5"/>
        <v>0.8</v>
      </c>
      <c r="L21" s="5">
        <f t="shared" ca="1" si="6"/>
        <v>3292.8</v>
      </c>
      <c r="M21" s="5">
        <f t="shared" ca="1" si="7"/>
        <v>3.2928000000000002</v>
      </c>
      <c r="N21" s="5">
        <f t="shared" ca="1" si="8"/>
        <v>4116</v>
      </c>
      <c r="O21" s="5">
        <f t="shared" ca="1" si="9"/>
        <v>4.1159999999999997</v>
      </c>
      <c r="T21" s="5" t="str">
        <f t="shared" ca="1" si="2"/>
        <v>Ein Händler bestellt</v>
      </c>
      <c r="U21" s="5" t="str">
        <f ca="1">CONCATENATE(M22," Tonnen ",I22,".")</f>
        <v>8.3002 Tonnen Plexiglas.</v>
      </c>
      <c r="V21" s="5" t="str">
        <f t="shared" ref="V21" si="26">$R$2</f>
        <v>Wie gross ist das Volumen in dm³?</v>
      </c>
      <c r="W21" s="5" t="str">
        <f ca="1">CONCATENATE(N22," dm³")</f>
        <v>6974.957 dm³</v>
      </c>
      <c r="X21" s="5" t="str">
        <f t="shared" ca="1" si="3"/>
        <v>Ein Händler bestellt 8.3002 Tonnen Plexiglas. Wie gross ist das Volumen in dm³?</v>
      </c>
      <c r="Y21" s="7">
        <f t="shared" ca="1" si="4"/>
        <v>172097</v>
      </c>
      <c r="Z21" s="7"/>
    </row>
    <row r="22" spans="1:26" x14ac:dyDescent="0.25">
      <c r="A22" s="129" t="s">
        <v>73</v>
      </c>
      <c r="B22" s="7" t="str">
        <f t="shared" ca="1" si="0"/>
        <v>Ein Händler bestellt 7.8374 Tonnen Stahl legiert. Wie gross ist das Volumen in dm³?</v>
      </c>
      <c r="C22" s="7" t="str">
        <f t="shared" ca="1" si="1"/>
        <v>992.075 dm³</v>
      </c>
      <c r="I22" s="4" t="s">
        <v>34</v>
      </c>
      <c r="J22" s="3">
        <v>1.19</v>
      </c>
      <c r="K22" s="5">
        <f t="shared" si="5"/>
        <v>1.19</v>
      </c>
      <c r="L22" s="5">
        <f t="shared" ca="1" si="6"/>
        <v>8300.2000000000007</v>
      </c>
      <c r="M22" s="5">
        <f t="shared" ca="1" si="7"/>
        <v>8.3002000000000002</v>
      </c>
      <c r="N22" s="5">
        <f t="shared" ca="1" si="8"/>
        <v>6974.9570000000003</v>
      </c>
      <c r="O22" s="5">
        <f t="shared" ca="1" si="9"/>
        <v>6.9749570000000007</v>
      </c>
      <c r="T22" s="5" t="str">
        <f t="shared" ca="1" si="2"/>
        <v>Eine Firma bestellt</v>
      </c>
      <c r="U22" s="5" t="str">
        <f ca="1">CONCATENATE(L23," Kilogramm ",I23,".")</f>
        <v>4159.4 Kilogramm Quarzglas.</v>
      </c>
      <c r="V22" s="5" t="str">
        <f t="shared" ref="V22" si="27">$R$3</f>
        <v>Wie gross ist das Volumen in m³?</v>
      </c>
      <c r="W22" s="5" t="str">
        <f ca="1">CONCATENATE(O23," m³")</f>
        <v>1.890636 m³</v>
      </c>
      <c r="X22" s="5" t="str">
        <f t="shared" ca="1" si="3"/>
        <v>Eine Firma bestellt 4159.4 Kilogramm Quarzglas. Wie gross ist das Volumen in m³?</v>
      </c>
      <c r="Y22" s="7">
        <f t="shared" ca="1" si="4"/>
        <v>193895</v>
      </c>
    </row>
    <row r="23" spans="1:26" x14ac:dyDescent="0.25">
      <c r="A23" s="129" t="s">
        <v>74</v>
      </c>
      <c r="B23" s="7" t="str">
        <f t="shared" ca="1" si="0"/>
        <v>Ein Händler bestellt 2.62 Tonnen Zement. Wie gross ist das Volumen in dm³?</v>
      </c>
      <c r="C23" s="7" t="str">
        <f t="shared" ca="1" si="1"/>
        <v>845.161 dm³</v>
      </c>
      <c r="I23" t="s">
        <v>9</v>
      </c>
      <c r="J23" s="3">
        <v>2.2000000000000002</v>
      </c>
      <c r="K23" s="5">
        <f t="shared" si="5"/>
        <v>2.2000000000000002</v>
      </c>
      <c r="L23" s="5">
        <f t="shared" ca="1" si="6"/>
        <v>4159.3999999999996</v>
      </c>
      <c r="M23" s="5">
        <f t="shared" ca="1" si="7"/>
        <v>4.1593999999999998</v>
      </c>
      <c r="N23" s="5">
        <f t="shared" ca="1" si="8"/>
        <v>1890.636</v>
      </c>
      <c r="O23" s="5">
        <f t="shared" ca="1" si="9"/>
        <v>1.890636</v>
      </c>
      <c r="T23" s="5" t="str">
        <f t="shared" ca="1" si="2"/>
        <v>Ein Händler bestellt</v>
      </c>
      <c r="U23" s="5" t="str">
        <f ca="1">CONCATENATE(N24," dm³ ",I24,".")</f>
        <v>80.308 dm³ Quecksilber.</v>
      </c>
      <c r="V23" s="5" t="str">
        <f t="shared" ref="V23" si="28">$R$4</f>
        <v>Wie viele Kilogramm sind das?</v>
      </c>
      <c r="W23" s="5" t="str">
        <f ca="1">CONCATENATE(L24," kg")</f>
        <v>1091.8 kg</v>
      </c>
      <c r="X23" s="5" t="str">
        <f t="shared" ca="1" si="3"/>
        <v>Ein Händler bestellt 80.308 dm³ Quecksilber. Wie viele Kilogramm sind das?</v>
      </c>
      <c r="Y23" s="7">
        <f t="shared" ca="1" si="4"/>
        <v>164424</v>
      </c>
    </row>
    <row r="24" spans="1:26" x14ac:dyDescent="0.25">
      <c r="A24" s="129" t="s">
        <v>75</v>
      </c>
      <c r="B24" s="7" t="str">
        <f t="shared" ca="1" si="0"/>
        <v>Eine Firma bestellt 624.691 dm³ Nickel. Wie viele Kilogramm sind das?</v>
      </c>
      <c r="C24" s="7" t="str">
        <f t="shared" ca="1" si="1"/>
        <v>5566 kg</v>
      </c>
      <c r="I24" s="4" t="s">
        <v>125</v>
      </c>
      <c r="J24" s="3">
        <v>13.595000000000001</v>
      </c>
      <c r="K24" s="5">
        <f t="shared" si="5"/>
        <v>13.595000000000001</v>
      </c>
      <c r="L24" s="5">
        <f t="shared" ca="1" si="6"/>
        <v>1091.8</v>
      </c>
      <c r="M24" s="5">
        <f t="shared" ca="1" si="7"/>
        <v>1.0917999999999999</v>
      </c>
      <c r="N24" s="5">
        <f t="shared" ca="1" si="8"/>
        <v>80.308000000000007</v>
      </c>
      <c r="O24" s="5">
        <f t="shared" ca="1" si="9"/>
        <v>8.0308000000000004E-2</v>
      </c>
      <c r="T24" s="5" t="str">
        <f t="shared" ca="1" si="2"/>
        <v>Eine Firma bestellt</v>
      </c>
      <c r="U24" s="5" t="str">
        <f ca="1">CONCATENATE(O25," m³ ",I25,".")</f>
        <v>2.307922 m³ Schwefel.</v>
      </c>
      <c r="V24" s="5" t="str">
        <f t="shared" ref="V24" si="29">$R$5</f>
        <v>Wie viele Tonnen sind das?</v>
      </c>
      <c r="W24" s="5" t="str">
        <f ca="1">CONCATENATE(M25," t")</f>
        <v>4.7774 t</v>
      </c>
      <c r="X24" s="5" t="str">
        <f t="shared" ca="1" si="3"/>
        <v>Eine Firma bestellt 2.307922 m³ Schwefel. Wie viele Tonnen sind das?</v>
      </c>
      <c r="Y24" s="7">
        <f t="shared" ca="1" si="4"/>
        <v>129613</v>
      </c>
    </row>
    <row r="25" spans="1:26" x14ac:dyDescent="0.25">
      <c r="A25" s="129" t="s">
        <v>130</v>
      </c>
      <c r="B25" s="7" t="str">
        <f t="shared" ca="1" si="0"/>
        <v>Eine Firma bestellt 4.116 m³ Papier Büroqualität. Wie viele Tonnen sind das?</v>
      </c>
      <c r="C25" s="7" t="str">
        <f t="shared" ca="1" si="1"/>
        <v>3.2928 t</v>
      </c>
      <c r="I25" t="s">
        <v>36</v>
      </c>
      <c r="J25" s="3">
        <v>2.0699999999999998</v>
      </c>
      <c r="K25" s="5">
        <f t="shared" si="5"/>
        <v>2.0699999999999998</v>
      </c>
      <c r="L25" s="5">
        <f t="shared" ca="1" si="6"/>
        <v>4777.3999999999996</v>
      </c>
      <c r="M25" s="5">
        <f t="shared" ca="1" si="7"/>
        <v>4.7773999999999992</v>
      </c>
      <c r="N25" s="5">
        <f t="shared" ca="1" si="8"/>
        <v>2307.922</v>
      </c>
      <c r="O25" s="5">
        <f t="shared" ca="1" si="9"/>
        <v>2.307922</v>
      </c>
      <c r="T25" s="5" t="str">
        <f t="shared" ca="1" si="2"/>
        <v>Ein Händler bestellt</v>
      </c>
      <c r="U25" s="5" t="str">
        <f ca="1">CONCATENATE(M26," Tonnen ",I26,".")</f>
        <v>7.8374 Tonnen Stahl legiert.</v>
      </c>
      <c r="V25" s="5" t="str">
        <f t="shared" ref="V25" si="30">$R$2</f>
        <v>Wie gross ist das Volumen in dm³?</v>
      </c>
      <c r="W25" s="5" t="str">
        <f ca="1">CONCATENATE(N26," dm³")</f>
        <v>992.075 dm³</v>
      </c>
      <c r="X25" s="5" t="str">
        <f t="shared" ca="1" si="3"/>
        <v>Ein Händler bestellt 7.8374 Tonnen Stahl legiert. Wie gross ist das Volumen in dm³?</v>
      </c>
      <c r="Y25" s="7">
        <f t="shared" ca="1" si="4"/>
        <v>57207</v>
      </c>
      <c r="Z25" s="7"/>
    </row>
    <row r="26" spans="1:26" x14ac:dyDescent="0.25">
      <c r="A26" s="129" t="s">
        <v>131</v>
      </c>
      <c r="B26" s="7" t="str">
        <f t="shared" ca="1" si="0"/>
        <v>Eine Firma kauft 635.449 dm³ Blei. Wie viele Kilogramm sind das?</v>
      </c>
      <c r="C26" s="7" t="str">
        <f t="shared" ca="1" si="1"/>
        <v>7206 kg</v>
      </c>
      <c r="I26" t="s">
        <v>22</v>
      </c>
      <c r="J26" s="3">
        <v>7.9</v>
      </c>
      <c r="K26" s="5">
        <f t="shared" si="5"/>
        <v>7.9</v>
      </c>
      <c r="L26" s="5">
        <f t="shared" ca="1" si="6"/>
        <v>7837.4</v>
      </c>
      <c r="M26" s="5">
        <f t="shared" ca="1" si="7"/>
        <v>7.8373999999999997</v>
      </c>
      <c r="N26" s="5">
        <f t="shared" ca="1" si="8"/>
        <v>992.07500000000005</v>
      </c>
      <c r="O26" s="5">
        <f t="shared" ca="1" si="9"/>
        <v>0.99207500000000004</v>
      </c>
      <c r="T26" s="5" t="str">
        <f t="shared" ca="1" si="2"/>
        <v>Ein Händler bestellt</v>
      </c>
      <c r="U26" s="5" t="str">
        <f ca="1">CONCATENATE(L27," Kilogramm ",I27,".")</f>
        <v>5218 Kilogramm Stahl unlegiert.</v>
      </c>
      <c r="V26" s="5" t="str">
        <f t="shared" ref="V26" si="31">$R$3</f>
        <v>Wie gross ist das Volumen in m³?</v>
      </c>
      <c r="W26" s="5" t="str">
        <f ca="1">CONCATENATE(O27," m³")</f>
        <v>0.664713 m³</v>
      </c>
      <c r="X26" s="5" t="str">
        <f t="shared" ca="1" si="3"/>
        <v>Ein Händler bestellt 5218 Kilogramm Stahl unlegiert. Wie gross ist das Volumen in m³?</v>
      </c>
      <c r="Y26" s="7">
        <f t="shared" ca="1" si="4"/>
        <v>91723</v>
      </c>
    </row>
    <row r="27" spans="1:26" x14ac:dyDescent="0.25">
      <c r="A27" s="129" t="s">
        <v>132</v>
      </c>
      <c r="B27" s="7" t="str">
        <f t="shared" ca="1" si="0"/>
        <v>Eine Firma kauft 5032.8 Kilogramm Messing. Wie gross ist das Volumen in m³?</v>
      </c>
      <c r="C27" s="7" t="str">
        <f t="shared" ca="1" si="1"/>
        <v>0.621333 m³</v>
      </c>
      <c r="I27" t="s">
        <v>21</v>
      </c>
      <c r="J27" s="3">
        <v>7.85</v>
      </c>
      <c r="K27" s="5">
        <f t="shared" si="5"/>
        <v>7.85</v>
      </c>
      <c r="L27" s="5">
        <f t="shared" ca="1" si="6"/>
        <v>5218</v>
      </c>
      <c r="M27" s="5">
        <f t="shared" ca="1" si="7"/>
        <v>5.218</v>
      </c>
      <c r="N27" s="5">
        <f t="shared" ca="1" si="8"/>
        <v>664.71299999999997</v>
      </c>
      <c r="O27" s="5">
        <f t="shared" ca="1" si="9"/>
        <v>0.664713</v>
      </c>
      <c r="T27" s="5" t="str">
        <f t="shared" ca="1" si="2"/>
        <v>Ein Händler bestellt</v>
      </c>
      <c r="U27" s="5" t="str">
        <f ca="1">CONCATENATE(N28," dm³ ",I28,".")</f>
        <v>4803.407 dm³ Steinkohle.</v>
      </c>
      <c r="V27" s="5" t="str">
        <f t="shared" ref="V27" si="32">$R$4</f>
        <v>Wie viele Kilogramm sind das?</v>
      </c>
      <c r="W27" s="5" t="str">
        <f ca="1">CONCATENATE(L28," kg")</f>
        <v>6484.6 kg</v>
      </c>
      <c r="X27" s="5" t="str">
        <f t="shared" ca="1" si="3"/>
        <v>Ein Händler bestellt 4803.407 dm³ Steinkohle. Wie viele Kilogramm sind das?</v>
      </c>
      <c r="Y27" s="7">
        <f t="shared" ca="1" si="4"/>
        <v>105772</v>
      </c>
    </row>
    <row r="28" spans="1:26" x14ac:dyDescent="0.25">
      <c r="A28" s="129" t="s">
        <v>133</v>
      </c>
      <c r="B28" s="7" t="str">
        <f t="shared" ca="1" si="0"/>
        <v>Eine Firma bestellt 3.2532 Tonnen Aluminium. Wie gross ist das Volumen in dm³?</v>
      </c>
      <c r="C28" s="7" t="str">
        <f t="shared" ca="1" si="1"/>
        <v>1200.442 dm³</v>
      </c>
      <c r="I28" t="s">
        <v>6</v>
      </c>
      <c r="J28" s="3">
        <v>1.35</v>
      </c>
      <c r="K28" s="5">
        <f t="shared" si="5"/>
        <v>1.35</v>
      </c>
      <c r="L28" s="5">
        <f t="shared" ca="1" si="6"/>
        <v>6484.6</v>
      </c>
      <c r="M28" s="5">
        <f t="shared" ca="1" si="7"/>
        <v>6.4846000000000004</v>
      </c>
      <c r="N28" s="5">
        <f t="shared" ca="1" si="8"/>
        <v>4803.4070000000002</v>
      </c>
      <c r="O28" s="5">
        <f t="shared" ca="1" si="9"/>
        <v>4.803407</v>
      </c>
      <c r="T28" s="5" t="str">
        <f t="shared" ca="1" si="2"/>
        <v>Ein Händler kauft</v>
      </c>
      <c r="U28" s="5" t="str">
        <f ca="1">CONCATENATE(O29," m³ ",I29,".")</f>
        <v>3.6564 m³ Wasser (bei 0 °C).</v>
      </c>
      <c r="V28" s="5" t="str">
        <f t="shared" ref="V28" si="33">$R$5</f>
        <v>Wie viele Tonnen sind das?</v>
      </c>
      <c r="W28" s="5" t="str">
        <f ca="1">CONCATENATE(M29," t")</f>
        <v>3.6564 t</v>
      </c>
      <c r="X28" s="5" t="str">
        <f t="shared" ca="1" si="3"/>
        <v>Ein Händler kauft 3.6564 m³ Wasser (bei 0 °C). Wie viele Tonnen sind das?</v>
      </c>
      <c r="Y28" s="7">
        <f t="shared" ca="1" si="4"/>
        <v>103983</v>
      </c>
    </row>
    <row r="29" spans="1:26" x14ac:dyDescent="0.25">
      <c r="A29" s="129" t="s">
        <v>134</v>
      </c>
      <c r="B29" s="7" t="str">
        <f t="shared" ca="1" si="0"/>
        <v>Eine Firma kauft 9.01675 m³ Eichenholz. Wie viele Tonnen sind das?</v>
      </c>
      <c r="C29" s="7" t="str">
        <f t="shared" ca="1" si="1"/>
        <v>7.2134 t</v>
      </c>
      <c r="I29" t="s">
        <v>5</v>
      </c>
      <c r="J29" s="3">
        <v>1</v>
      </c>
      <c r="K29" s="5">
        <f t="shared" si="5"/>
        <v>1</v>
      </c>
      <c r="L29" s="5">
        <f t="shared" ca="1" si="6"/>
        <v>3656.4</v>
      </c>
      <c r="M29" s="5">
        <f t="shared" ca="1" si="7"/>
        <v>3.6564000000000001</v>
      </c>
      <c r="N29" s="5">
        <f t="shared" ca="1" si="8"/>
        <v>3656.4</v>
      </c>
      <c r="O29" s="5">
        <f t="shared" ca="1" si="9"/>
        <v>3.6564000000000001</v>
      </c>
      <c r="T29" s="5" t="str">
        <f t="shared" ca="1" si="2"/>
        <v>Ein Händler bestellt</v>
      </c>
      <c r="U29" s="5" t="str">
        <f ca="1">CONCATENATE(M30," Tonnen ",I30,".")</f>
        <v>2.62 Tonnen Zement.</v>
      </c>
      <c r="V29" s="5" t="str">
        <f t="shared" ref="V29" si="34">$R$2</f>
        <v>Wie gross ist das Volumen in dm³?</v>
      </c>
      <c r="W29" s="5" t="str">
        <f ca="1">CONCATENATE(N30," dm³")</f>
        <v>845.161 dm³</v>
      </c>
      <c r="X29" s="5" t="str">
        <f t="shared" ca="1" si="3"/>
        <v>Ein Händler bestellt 2.62 Tonnen Zement. Wie gross ist das Volumen in dm³?</v>
      </c>
      <c r="Y29" s="7">
        <f t="shared" ca="1" si="4"/>
        <v>52923</v>
      </c>
      <c r="Z29" s="7"/>
    </row>
    <row r="30" spans="1:26" x14ac:dyDescent="0.25">
      <c r="A30" s="129" t="s">
        <v>135</v>
      </c>
      <c r="B30" s="7" t="str">
        <f t="shared" ca="1" si="0"/>
        <v>Ein Händler bestellt 1.0808 m³ Fensterglas. Wie viele Tonnen sind das?</v>
      </c>
      <c r="C30" s="7" t="str">
        <f t="shared" ca="1" si="1"/>
        <v>2.702 t</v>
      </c>
      <c r="I30" t="s">
        <v>14</v>
      </c>
      <c r="J30" s="3">
        <v>3.1</v>
      </c>
      <c r="K30" s="5">
        <f t="shared" si="5"/>
        <v>3.1</v>
      </c>
      <c r="L30" s="5">
        <f t="shared" ca="1" si="6"/>
        <v>2620</v>
      </c>
      <c r="M30" s="5">
        <f t="shared" ca="1" si="7"/>
        <v>2.62</v>
      </c>
      <c r="N30" s="5">
        <f t="shared" ca="1" si="8"/>
        <v>845.16099999999994</v>
      </c>
      <c r="O30" s="5">
        <f t="shared" ca="1" si="9"/>
        <v>0.84516099999999994</v>
      </c>
      <c r="T30" s="5" t="str">
        <f t="shared" ca="1" si="2"/>
        <v>Ein Händler kauft</v>
      </c>
      <c r="U30" s="5" t="str">
        <f ca="1">CONCATENATE(L31," Kilogramm ",I31,".")</f>
        <v>541.6 Kilogramm Zink.</v>
      </c>
      <c r="V30" s="5" t="str">
        <f t="shared" ref="V30" si="35">$R$3</f>
        <v>Wie gross ist das Volumen in m³?</v>
      </c>
      <c r="W30" s="5" t="str">
        <f ca="1">CONCATENATE(O31," m³")</f>
        <v>0.07596 m³</v>
      </c>
      <c r="X30" s="5" t="str">
        <f t="shared" ca="1" si="3"/>
        <v>Ein Händler kauft 541.6 Kilogramm Zink. Wie gross ist das Volumen in m³?</v>
      </c>
      <c r="Y30" s="7">
        <f t="shared" ca="1" si="4"/>
        <v>59481</v>
      </c>
    </row>
    <row r="31" spans="1:26" x14ac:dyDescent="0.25">
      <c r="A31" s="129" t="s">
        <v>136</v>
      </c>
      <c r="B31" s="7" t="str">
        <f t="shared" ca="1" si="0"/>
        <v>Eine Firma bestellt 7.8964 Tonnen Fichtenholz. Wie gross ist das Volumen in dm³?</v>
      </c>
      <c r="C31" s="7" t="str">
        <f t="shared" ca="1" si="1"/>
        <v>15792.8 dm³</v>
      </c>
      <c r="I31" t="s">
        <v>16</v>
      </c>
      <c r="J31" s="3">
        <v>7.13</v>
      </c>
      <c r="K31" s="5">
        <f t="shared" si="5"/>
        <v>7.13</v>
      </c>
      <c r="L31" s="5">
        <f t="shared" ca="1" si="6"/>
        <v>541.6</v>
      </c>
      <c r="M31" s="5">
        <f t="shared" ca="1" si="7"/>
        <v>0.54159999999999997</v>
      </c>
      <c r="N31" s="5">
        <f t="shared" ca="1" si="8"/>
        <v>75.959999999999994</v>
      </c>
      <c r="O31" s="5">
        <f t="shared" ca="1" si="9"/>
        <v>7.596E-2</v>
      </c>
      <c r="T31" s="5" t="str">
        <f t="shared" ca="1" si="2"/>
        <v>Ein Händler bestellt</v>
      </c>
      <c r="U31" s="5" t="str">
        <f ca="1">CONCATENATE(N32," dm³ ",I32,".")</f>
        <v>1187.884 dm³ Zinn.</v>
      </c>
      <c r="V31" s="5" t="str">
        <f t="shared" ref="V31" si="36">$R$4</f>
        <v>Wie viele Kilogramm sind das?</v>
      </c>
      <c r="W31" s="5" t="str">
        <f ca="1">CONCATENATE(L32," kg")</f>
        <v>8647.8 kg</v>
      </c>
      <c r="X31" s="5" t="str">
        <f t="shared" ca="1" si="3"/>
        <v>Ein Händler bestellt 1187.884 dm³ Zinn. Wie viele Kilogramm sind das?</v>
      </c>
      <c r="Y31" s="7">
        <f t="shared" ca="1" si="4"/>
        <v>151141</v>
      </c>
    </row>
    <row r="32" spans="1:26" x14ac:dyDescent="0.25">
      <c r="A32" s="129" t="s">
        <v>137</v>
      </c>
      <c r="B32" s="7"/>
      <c r="I32" t="s">
        <v>19</v>
      </c>
      <c r="J32" s="3">
        <v>7.28</v>
      </c>
      <c r="K32" s="5">
        <f t="shared" si="5"/>
        <v>7.28</v>
      </c>
      <c r="L32" s="5">
        <f t="shared" ca="1" si="6"/>
        <v>8647.7999999999993</v>
      </c>
      <c r="M32" s="5">
        <f t="shared" ca="1" si="7"/>
        <v>8.6478000000000002</v>
      </c>
      <c r="N32" s="5">
        <f t="shared" ca="1" si="8"/>
        <v>1187.884</v>
      </c>
      <c r="O32" s="5">
        <f t="shared" ca="1" si="9"/>
        <v>1.1878839999999999</v>
      </c>
    </row>
    <row r="33" spans="1:10" x14ac:dyDescent="0.25">
      <c r="A33" s="129" t="s">
        <v>138</v>
      </c>
      <c r="B33" s="7"/>
      <c r="I33"/>
      <c r="J33" s="3"/>
    </row>
    <row r="34" spans="1:10" x14ac:dyDescent="0.25">
      <c r="B34" s="7"/>
      <c r="I34" s="4"/>
      <c r="J34" s="3"/>
    </row>
    <row r="35" spans="1:10" x14ac:dyDescent="0.25">
      <c r="B35" s="7" t="str">
        <f ca="1">IF(A35="","",INDIRECT("x"&amp;MATCH(LARGE(Y$1:Y$31,ROW()),Y$1:Y$31,0)))</f>
        <v/>
      </c>
      <c r="I35"/>
      <c r="J35" s="3"/>
    </row>
    <row r="36" spans="1:10" x14ac:dyDescent="0.25">
      <c r="B36" s="7" t="str">
        <f ca="1">IF(A36="","",INDIRECT("x"&amp;MATCH(LARGE(Y$1:Y$31,ROW()),Y$1:Y$31,0)))</f>
        <v/>
      </c>
      <c r="I36"/>
      <c r="J36" s="3"/>
    </row>
    <row r="37" spans="1:10" x14ac:dyDescent="0.25">
      <c r="B37" s="7" t="str">
        <f ca="1">IF(A37="","",INDIRECT("x"&amp;MATCH(LARGE(Y$1:Y$31,ROW()),Y$1:Y$31,0)))</f>
        <v/>
      </c>
      <c r="I37"/>
      <c r="J37" s="3"/>
    </row>
    <row r="38" spans="1:10" x14ac:dyDescent="0.25">
      <c r="I38"/>
      <c r="J38" s="3"/>
    </row>
    <row r="39" spans="1:10" x14ac:dyDescent="0.25">
      <c r="I39"/>
      <c r="J39" s="3"/>
    </row>
    <row r="40" spans="1:10" x14ac:dyDescent="0.25">
      <c r="I40"/>
      <c r="J40" s="3"/>
    </row>
    <row r="41" spans="1:10" x14ac:dyDescent="0.25">
      <c r="I41"/>
      <c r="J41" s="3"/>
    </row>
    <row r="42" spans="1:10" x14ac:dyDescent="0.25">
      <c r="I42"/>
      <c r="J42" s="3"/>
    </row>
    <row r="43" spans="1:10" x14ac:dyDescent="0.25">
      <c r="I43" s="2"/>
      <c r="J43" s="3"/>
    </row>
    <row r="44" spans="1:10" x14ac:dyDescent="0.25">
      <c r="I44"/>
      <c r="J44" s="3"/>
    </row>
    <row r="45" spans="1:10" x14ac:dyDescent="0.25">
      <c r="I45"/>
      <c r="J45" s="3"/>
    </row>
    <row r="46" spans="1:10" x14ac:dyDescent="0.25">
      <c r="I46"/>
      <c r="J46" s="3"/>
    </row>
    <row r="48" spans="1:10" x14ac:dyDescent="0.25">
      <c r="I48" s="2"/>
      <c r="J48" s="3"/>
    </row>
    <row r="49" spans="9:10" x14ac:dyDescent="0.25">
      <c r="I49" s="2"/>
      <c r="J49" s="3"/>
    </row>
    <row r="50" spans="9:10" x14ac:dyDescent="0.25">
      <c r="I50" s="2"/>
      <c r="J50" s="3"/>
    </row>
    <row r="51" spans="9:10" x14ac:dyDescent="0.25">
      <c r="I51" s="2"/>
      <c r="J51" s="3"/>
    </row>
    <row r="52" spans="9:10" x14ac:dyDescent="0.25">
      <c r="I52" s="2"/>
      <c r="J52" s="3"/>
    </row>
    <row r="53" spans="9:10" x14ac:dyDescent="0.25">
      <c r="I53" s="2"/>
      <c r="J53" s="3"/>
    </row>
    <row r="54" spans="9:10" x14ac:dyDescent="0.25">
      <c r="I54" s="2"/>
      <c r="J54" s="3"/>
    </row>
    <row r="55" spans="9:10" x14ac:dyDescent="0.25">
      <c r="I55" s="2"/>
      <c r="J55" s="3"/>
    </row>
    <row r="56" spans="9:10" x14ac:dyDescent="0.25">
      <c r="I56" s="2"/>
      <c r="J56" s="3"/>
    </row>
    <row r="57" spans="9:10" x14ac:dyDescent="0.25">
      <c r="I57" s="2"/>
      <c r="J57" s="3"/>
    </row>
    <row r="58" spans="9:10" x14ac:dyDescent="0.25">
      <c r="I58" s="2"/>
      <c r="J58" s="3"/>
    </row>
    <row r="59" spans="9:10" x14ac:dyDescent="0.25">
      <c r="I59" s="2"/>
      <c r="J59" s="3"/>
    </row>
    <row r="60" spans="9:10" x14ac:dyDescent="0.25">
      <c r="I60" s="2"/>
      <c r="J60" s="3"/>
    </row>
    <row r="61" spans="9:10" x14ac:dyDescent="0.25">
      <c r="I61" s="2"/>
      <c r="J61" s="3"/>
    </row>
    <row r="62" spans="9:10" x14ac:dyDescent="0.25">
      <c r="I62" s="2"/>
      <c r="J62" s="3"/>
    </row>
    <row r="63" spans="9:10" x14ac:dyDescent="0.25">
      <c r="I63" s="2"/>
      <c r="J63" s="3"/>
    </row>
    <row r="64" spans="9:10" x14ac:dyDescent="0.25">
      <c r="I64" s="2"/>
      <c r="J64" s="3"/>
    </row>
    <row r="65" spans="9:10" x14ac:dyDescent="0.25">
      <c r="I65" s="2"/>
      <c r="J65" s="3"/>
    </row>
    <row r="66" spans="9:10" x14ac:dyDescent="0.25">
      <c r="I66" s="2"/>
      <c r="J66" s="3"/>
    </row>
    <row r="67" spans="9:10" x14ac:dyDescent="0.25">
      <c r="I67" s="2"/>
      <c r="J67" s="3"/>
    </row>
    <row r="68" spans="9:10" x14ac:dyDescent="0.25">
      <c r="I68" s="2"/>
      <c r="J68" s="3"/>
    </row>
    <row r="69" spans="9:10" x14ac:dyDescent="0.25">
      <c r="I69" s="2"/>
      <c r="J69" s="3"/>
    </row>
    <row r="70" spans="9:10" x14ac:dyDescent="0.25">
      <c r="I70" s="2"/>
      <c r="J70" s="3"/>
    </row>
    <row r="71" spans="9:10" x14ac:dyDescent="0.25">
      <c r="I71" s="2"/>
      <c r="J71" s="3"/>
    </row>
    <row r="72" spans="9:10" x14ac:dyDescent="0.25">
      <c r="I72" s="2"/>
      <c r="J72" s="3"/>
    </row>
    <row r="73" spans="9:10" x14ac:dyDescent="0.25">
      <c r="I73" s="2"/>
      <c r="J73" s="3"/>
    </row>
    <row r="74" spans="9:10" x14ac:dyDescent="0.25">
      <c r="I74" s="2"/>
      <c r="J74" s="3"/>
    </row>
    <row r="75" spans="9:10" x14ac:dyDescent="0.25">
      <c r="I75" s="2"/>
      <c r="J75" s="3"/>
    </row>
  </sheetData>
  <sortState ref="I2:J39">
    <sortCondition ref="I2"/>
  </sortState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3"/>
  <sheetViews>
    <sheetView showGridLines="0" showRowColHeaders="0" zoomScaleNormal="100" workbookViewId="0">
      <selection activeCell="B34" sqref="B34:J34"/>
    </sheetView>
  </sheetViews>
  <sheetFormatPr baseColWidth="10" defaultRowHeight="15" x14ac:dyDescent="0.25"/>
  <cols>
    <col min="1" max="1" width="11.42578125" style="64"/>
    <col min="2" max="2" width="4.140625" style="64" customWidth="1"/>
    <col min="3" max="3" width="5.140625" style="64" customWidth="1"/>
    <col min="4" max="4" width="12.7109375" style="64" bestFit="1" customWidth="1"/>
    <col min="5" max="5" width="11.42578125" style="64"/>
    <col min="6" max="6" width="8.28515625" style="64" customWidth="1"/>
    <col min="7" max="7" width="4.85546875" style="64" customWidth="1"/>
    <col min="8" max="8" width="10.28515625" style="64" customWidth="1"/>
    <col min="9" max="9" width="11.42578125" style="64"/>
    <col min="10" max="10" width="15.7109375" style="64" customWidth="1"/>
    <col min="11" max="11" width="11.42578125" style="64"/>
    <col min="12" max="12" width="16" style="64" customWidth="1"/>
    <col min="13" max="13" width="13.42578125" style="65" customWidth="1"/>
    <col min="14" max="14" width="14.28515625" style="64" customWidth="1"/>
    <col min="15" max="15" width="2.7109375" style="64" customWidth="1"/>
    <col min="16" max="16" width="58" style="64" customWidth="1"/>
    <col min="17" max="16384" width="11.42578125" style="64"/>
  </cols>
  <sheetData>
    <row r="2" spans="2:13" ht="22.5" customHeight="1" x14ac:dyDescent="0.25">
      <c r="B2" s="269" t="s">
        <v>104</v>
      </c>
      <c r="C2" s="270"/>
      <c r="D2" s="270"/>
      <c r="E2" s="270"/>
      <c r="F2" s="61" t="s">
        <v>110</v>
      </c>
      <c r="G2" s="271">
        <f>'Arbeitsblatt kostbar'!G2</f>
        <v>0</v>
      </c>
      <c r="H2" s="271"/>
      <c r="I2" s="62" t="s">
        <v>101</v>
      </c>
      <c r="J2" s="63">
        <f>'Arbeitsblatt kostbar'!J2</f>
        <v>1</v>
      </c>
    </row>
    <row r="4" spans="2:13" ht="21.75" customHeight="1" x14ac:dyDescent="0.25">
      <c r="B4" s="272" t="s">
        <v>102</v>
      </c>
      <c r="C4" s="272"/>
      <c r="D4" s="272"/>
      <c r="E4" s="272"/>
      <c r="F4" s="272"/>
      <c r="G4" s="272"/>
      <c r="H4" s="272"/>
      <c r="I4" s="272"/>
      <c r="J4" s="272"/>
    </row>
    <row r="5" spans="2:13" ht="4.5" customHeight="1" x14ac:dyDescent="0.25"/>
    <row r="6" spans="2:13" x14ac:dyDescent="0.25">
      <c r="B6" s="273" t="s">
        <v>79</v>
      </c>
      <c r="C6" s="273"/>
      <c r="D6" s="273"/>
      <c r="E6" s="273"/>
      <c r="F6" s="273"/>
      <c r="G6" s="273"/>
      <c r="H6" s="273"/>
      <c r="I6" s="273"/>
      <c r="J6" s="273"/>
    </row>
    <row r="7" spans="2:13" s="66" customFormat="1" ht="27.75" customHeight="1" x14ac:dyDescent="0.25">
      <c r="B7" s="274" t="s">
        <v>103</v>
      </c>
      <c r="C7" s="274"/>
      <c r="D7" s="274"/>
      <c r="E7" s="274"/>
      <c r="F7" s="274"/>
      <c r="G7" s="274"/>
      <c r="H7" s="274"/>
      <c r="I7" s="274"/>
      <c r="J7" s="274"/>
      <c r="M7" s="67"/>
    </row>
    <row r="9" spans="2:13" s="75" customFormat="1" ht="12.75" customHeight="1" x14ac:dyDescent="0.2">
      <c r="B9" s="68" t="s">
        <v>86</v>
      </c>
      <c r="C9" s="69"/>
      <c r="D9" s="69"/>
      <c r="E9" s="69"/>
      <c r="F9" s="70"/>
      <c r="G9" s="71"/>
      <c r="H9" s="72" t="s">
        <v>87</v>
      </c>
      <c r="I9" s="73"/>
      <c r="J9" s="74"/>
    </row>
    <row r="10" spans="2:13" x14ac:dyDescent="0.25">
      <c r="B10" s="76" t="s">
        <v>33</v>
      </c>
      <c r="C10" s="77"/>
      <c r="D10" s="78">
        <f>Kosten!C1</f>
        <v>20000</v>
      </c>
      <c r="E10" s="79" t="s">
        <v>111</v>
      </c>
      <c r="F10" s="80"/>
      <c r="G10" s="81"/>
      <c r="H10" s="82" t="s">
        <v>33</v>
      </c>
      <c r="I10" s="83">
        <f>'Arbeitsblatt kostbar'!I10</f>
        <v>3.51</v>
      </c>
      <c r="J10" s="84" t="s">
        <v>84</v>
      </c>
    </row>
    <row r="11" spans="2:13" x14ac:dyDescent="0.25">
      <c r="B11" s="76" t="s">
        <v>26</v>
      </c>
      <c r="C11" s="77"/>
      <c r="D11" s="78">
        <f>Kosten!B2</f>
        <v>0.57999999999999996</v>
      </c>
      <c r="E11" s="79" t="s">
        <v>80</v>
      </c>
      <c r="F11" s="80"/>
      <c r="G11" s="81"/>
      <c r="H11" s="85" t="s">
        <v>29</v>
      </c>
      <c r="I11" s="83">
        <f>'Arbeitsblatt kostbar'!I11</f>
        <v>19.302</v>
      </c>
      <c r="J11" s="84" t="s">
        <v>85</v>
      </c>
    </row>
    <row r="12" spans="2:13" x14ac:dyDescent="0.25">
      <c r="B12" s="76" t="s">
        <v>29</v>
      </c>
      <c r="C12" s="77"/>
      <c r="D12" s="78">
        <f>Kosten!B3</f>
        <v>39.630000000000003</v>
      </c>
      <c r="E12" s="79" t="s">
        <v>80</v>
      </c>
      <c r="F12" s="80"/>
      <c r="G12" s="81"/>
      <c r="H12" s="85" t="s">
        <v>30</v>
      </c>
      <c r="I12" s="83">
        <f>'Arbeitsblatt kostbar'!I12</f>
        <v>21.45</v>
      </c>
      <c r="J12" s="84" t="s">
        <v>85</v>
      </c>
    </row>
    <row r="13" spans="2:13" x14ac:dyDescent="0.25">
      <c r="B13" s="76" t="s">
        <v>30</v>
      </c>
      <c r="C13" s="77"/>
      <c r="D13" s="78">
        <f>Kosten!C4</f>
        <v>1010.43</v>
      </c>
      <c r="E13" s="79" t="s">
        <v>81</v>
      </c>
      <c r="F13" s="80"/>
      <c r="G13" s="81"/>
      <c r="H13" s="85" t="s">
        <v>26</v>
      </c>
      <c r="I13" s="83">
        <f>'Arbeitsblatt kostbar'!I13</f>
        <v>10.49</v>
      </c>
      <c r="J13" s="84" t="s">
        <v>85</v>
      </c>
    </row>
    <row r="14" spans="2:13" x14ac:dyDescent="0.25">
      <c r="B14" s="76" t="s">
        <v>28</v>
      </c>
      <c r="C14" s="77"/>
      <c r="D14" s="78">
        <f>Kosten!C5</f>
        <v>26.81</v>
      </c>
      <c r="E14" s="79" t="s">
        <v>82</v>
      </c>
      <c r="F14" s="80"/>
      <c r="G14" s="81"/>
      <c r="H14" s="85" t="s">
        <v>15</v>
      </c>
      <c r="I14" s="83">
        <f>'Arbeitsblatt kostbar'!I14</f>
        <v>4.5</v>
      </c>
      <c r="J14" s="84" t="s">
        <v>85</v>
      </c>
    </row>
    <row r="15" spans="2:13" x14ac:dyDescent="0.25">
      <c r="B15" s="86" t="s">
        <v>15</v>
      </c>
      <c r="C15" s="87"/>
      <c r="D15" s="88">
        <f>Kosten!C6</f>
        <v>24.83</v>
      </c>
      <c r="E15" s="89" t="s">
        <v>83</v>
      </c>
      <c r="F15" s="90"/>
      <c r="G15" s="81"/>
      <c r="H15" s="91" t="s">
        <v>28</v>
      </c>
      <c r="I15" s="92">
        <f>'Arbeitsblatt kostbar'!I15</f>
        <v>19.05</v>
      </c>
      <c r="J15" s="93" t="s">
        <v>85</v>
      </c>
    </row>
    <row r="17" spans="2:10" x14ac:dyDescent="0.25">
      <c r="B17" s="94" t="s">
        <v>88</v>
      </c>
      <c r="C17" s="264" t="str">
        <f ca="1">wertvoll!B1</f>
        <v>Eine Firma bestellt 0.442 cm³ Platin. Wie viel wiegt das?</v>
      </c>
      <c r="D17" s="264"/>
      <c r="E17" s="264"/>
      <c r="F17" s="264"/>
      <c r="G17" s="264"/>
      <c r="H17" s="264"/>
      <c r="I17" s="264"/>
      <c r="J17" s="264"/>
    </row>
    <row r="18" spans="2:10" ht="22.5" customHeight="1" x14ac:dyDescent="0.25">
      <c r="B18" s="265" t="str">
        <f ca="1">wertvoll!C1</f>
        <v>9.5 Gramm</v>
      </c>
      <c r="C18" s="265"/>
      <c r="D18" s="265"/>
      <c r="E18" s="265"/>
      <c r="F18" s="265"/>
      <c r="G18" s="265"/>
      <c r="H18" s="265"/>
      <c r="I18" s="265"/>
      <c r="J18" s="265"/>
    </row>
    <row r="19" spans="2:10" x14ac:dyDescent="0.25">
      <c r="B19" s="95" t="s">
        <v>89</v>
      </c>
      <c r="C19" s="266" t="s">
        <v>90</v>
      </c>
      <c r="D19" s="266"/>
      <c r="E19" s="266"/>
      <c r="F19" s="266"/>
      <c r="G19" s="266"/>
      <c r="H19" s="266"/>
      <c r="I19" s="266"/>
      <c r="J19" s="266"/>
    </row>
    <row r="20" spans="2:10" ht="22.5" customHeight="1" x14ac:dyDescent="0.25">
      <c r="B20" s="263">
        <f ca="1">wertvoll!D1</f>
        <v>308.65225080385846</v>
      </c>
      <c r="C20" s="263"/>
      <c r="D20" s="263"/>
      <c r="E20" s="263"/>
      <c r="F20" s="263"/>
      <c r="G20" s="263"/>
      <c r="H20" s="263"/>
      <c r="I20" s="263"/>
      <c r="J20" s="263"/>
    </row>
    <row r="21" spans="2:10" x14ac:dyDescent="0.25">
      <c r="B21" s="94" t="s">
        <v>91</v>
      </c>
      <c r="C21" s="264" t="str">
        <f ca="1">wertvoll!B2</f>
        <v>Eine Firma bestellt 45 Gramm Platin. Wie gross ist das Volumen in dm³?</v>
      </c>
      <c r="D21" s="264"/>
      <c r="E21" s="264"/>
      <c r="F21" s="264"/>
      <c r="G21" s="264"/>
      <c r="H21" s="264"/>
      <c r="I21" s="264"/>
      <c r="J21" s="264"/>
    </row>
    <row r="22" spans="2:10" ht="22.5" customHeight="1" x14ac:dyDescent="0.25">
      <c r="B22" s="265" t="str">
        <f ca="1">wertvoll!C2</f>
        <v>0.002097 dm³</v>
      </c>
      <c r="C22" s="265"/>
      <c r="D22" s="265"/>
      <c r="E22" s="265"/>
      <c r="F22" s="265"/>
      <c r="G22" s="265"/>
      <c r="H22" s="265"/>
      <c r="I22" s="265"/>
      <c r="J22" s="265"/>
    </row>
    <row r="23" spans="2:10" x14ac:dyDescent="0.25">
      <c r="B23" s="95" t="s">
        <v>92</v>
      </c>
      <c r="C23" s="266" t="s">
        <v>90</v>
      </c>
      <c r="D23" s="266"/>
      <c r="E23" s="266"/>
      <c r="F23" s="266"/>
      <c r="G23" s="266"/>
      <c r="H23" s="266"/>
      <c r="I23" s="266"/>
      <c r="J23" s="266"/>
    </row>
    <row r="24" spans="2:10" ht="22.5" customHeight="1" x14ac:dyDescent="0.25">
      <c r="B24" s="263">
        <f ca="1">wertvoll!D2</f>
        <v>1462.0369774919611</v>
      </c>
      <c r="C24" s="263"/>
      <c r="D24" s="263"/>
      <c r="E24" s="263"/>
      <c r="F24" s="263"/>
      <c r="G24" s="263"/>
      <c r="H24" s="263"/>
      <c r="I24" s="263"/>
      <c r="J24" s="263"/>
    </row>
    <row r="25" spans="2:10" x14ac:dyDescent="0.25">
      <c r="B25" s="94" t="s">
        <v>93</v>
      </c>
      <c r="C25" s="264" t="str">
        <f ca="1">wertvoll!B3</f>
        <v>Eine Firma bestellt 1.165 cm³ Gold. Wie viel wiegt das?</v>
      </c>
      <c r="D25" s="264"/>
      <c r="E25" s="264"/>
      <c r="F25" s="264"/>
      <c r="G25" s="264"/>
      <c r="H25" s="264"/>
      <c r="I25" s="264"/>
      <c r="J25" s="264"/>
    </row>
    <row r="26" spans="2:10" ht="22.5" customHeight="1" x14ac:dyDescent="0.25">
      <c r="B26" s="265" t="str">
        <f ca="1">wertvoll!C3</f>
        <v>22.5 Gramm</v>
      </c>
      <c r="C26" s="265"/>
      <c r="D26" s="265"/>
      <c r="E26" s="265"/>
      <c r="F26" s="265"/>
      <c r="G26" s="265"/>
      <c r="H26" s="265"/>
      <c r="I26" s="265"/>
      <c r="J26" s="265"/>
    </row>
    <row r="27" spans="2:10" x14ac:dyDescent="0.25">
      <c r="B27" s="95" t="s">
        <v>94</v>
      </c>
      <c r="C27" s="266" t="s">
        <v>90</v>
      </c>
      <c r="D27" s="266"/>
      <c r="E27" s="266"/>
      <c r="F27" s="266"/>
      <c r="G27" s="266"/>
      <c r="H27" s="266"/>
      <c r="I27" s="266"/>
      <c r="J27" s="266"/>
    </row>
    <row r="28" spans="2:10" ht="22.5" customHeight="1" x14ac:dyDescent="0.25">
      <c r="B28" s="263">
        <f ca="1">wertvoll!D3</f>
        <v>891.67500000000007</v>
      </c>
      <c r="C28" s="263"/>
      <c r="D28" s="263"/>
      <c r="E28" s="263"/>
      <c r="F28" s="263"/>
      <c r="G28" s="263"/>
      <c r="H28" s="263"/>
      <c r="I28" s="263"/>
      <c r="J28" s="263"/>
    </row>
    <row r="29" spans="2:10" x14ac:dyDescent="0.25">
      <c r="B29" s="94" t="s">
        <v>95</v>
      </c>
      <c r="C29" s="264" t="str">
        <f ca="1">wertvoll!B4</f>
        <v>Ein Händler bestellt 28.5 Gramm Silber. Wie gross ist das Volumen in cm³?</v>
      </c>
      <c r="D29" s="264"/>
      <c r="E29" s="264"/>
      <c r="F29" s="264"/>
      <c r="G29" s="264"/>
      <c r="H29" s="264"/>
      <c r="I29" s="264"/>
      <c r="J29" s="264"/>
    </row>
    <row r="30" spans="2:10" ht="22.5" customHeight="1" x14ac:dyDescent="0.25">
      <c r="B30" s="265" t="str">
        <f ca="1">wertvoll!C4</f>
        <v>2.716 cm³</v>
      </c>
      <c r="C30" s="265"/>
      <c r="D30" s="265"/>
      <c r="E30" s="265"/>
      <c r="F30" s="265"/>
      <c r="G30" s="265"/>
      <c r="H30" s="265"/>
      <c r="I30" s="265"/>
      <c r="J30" s="265"/>
    </row>
    <row r="31" spans="2:10" x14ac:dyDescent="0.25">
      <c r="B31" s="95" t="s">
        <v>96</v>
      </c>
      <c r="C31" s="266" t="s">
        <v>90</v>
      </c>
      <c r="D31" s="266"/>
      <c r="E31" s="266"/>
      <c r="F31" s="266"/>
      <c r="G31" s="266"/>
      <c r="H31" s="266"/>
      <c r="I31" s="266"/>
      <c r="J31" s="266"/>
    </row>
    <row r="32" spans="2:10" ht="22.5" customHeight="1" x14ac:dyDescent="0.25">
      <c r="B32" s="263">
        <f ca="1">wertvoll!D4</f>
        <v>16.529999999999998</v>
      </c>
      <c r="C32" s="263"/>
      <c r="D32" s="263"/>
      <c r="E32" s="263"/>
      <c r="F32" s="263"/>
      <c r="G32" s="263"/>
      <c r="H32" s="263"/>
      <c r="I32" s="263"/>
      <c r="J32" s="263"/>
    </row>
    <row r="33" spans="2:10" x14ac:dyDescent="0.25">
      <c r="B33" s="94" t="s">
        <v>97</v>
      </c>
      <c r="C33" s="264" t="str">
        <f ca="1">wertvoll!B5</f>
        <v>Ein Händler kauft 0.007666 dm³ Titan. Wie viel wiegt das?</v>
      </c>
      <c r="D33" s="264"/>
      <c r="E33" s="264"/>
      <c r="F33" s="264"/>
      <c r="G33" s="264"/>
      <c r="H33" s="264"/>
      <c r="I33" s="264"/>
      <c r="J33" s="264"/>
    </row>
    <row r="34" spans="2:10" ht="22.5" customHeight="1" x14ac:dyDescent="0.25">
      <c r="B34" s="265" t="str">
        <f ca="1">wertvoll!C5</f>
        <v>34.5 Gramm</v>
      </c>
      <c r="C34" s="265"/>
      <c r="D34" s="265"/>
      <c r="E34" s="265"/>
      <c r="F34" s="265"/>
      <c r="G34" s="265"/>
      <c r="H34" s="265"/>
      <c r="I34" s="265"/>
      <c r="J34" s="265"/>
    </row>
    <row r="35" spans="2:10" x14ac:dyDescent="0.25">
      <c r="B35" s="95" t="s">
        <v>98</v>
      </c>
      <c r="C35" s="266" t="s">
        <v>90</v>
      </c>
      <c r="D35" s="266"/>
      <c r="E35" s="266"/>
      <c r="F35" s="266"/>
      <c r="G35" s="266"/>
      <c r="H35" s="266"/>
      <c r="I35" s="266"/>
      <c r="J35" s="266"/>
    </row>
    <row r="36" spans="2:10" ht="22.5" customHeight="1" x14ac:dyDescent="0.25">
      <c r="B36" s="263">
        <f ca="1">wertvoll!D5</f>
        <v>0.85663499999999992</v>
      </c>
      <c r="C36" s="263"/>
      <c r="D36" s="263"/>
      <c r="E36" s="263"/>
      <c r="F36" s="263"/>
      <c r="G36" s="263"/>
      <c r="H36" s="263"/>
      <c r="I36" s="263"/>
      <c r="J36" s="263"/>
    </row>
    <row r="37" spans="2:10" x14ac:dyDescent="0.25">
      <c r="B37" s="94" t="s">
        <v>99</v>
      </c>
      <c r="C37" s="264" t="str">
        <f ca="1">wertvoll!B6</f>
        <v>Ein Händler kauft 0.005672 dm³ Silber. Wie viel wiegt das?</v>
      </c>
      <c r="D37" s="264"/>
      <c r="E37" s="264"/>
      <c r="F37" s="264"/>
      <c r="G37" s="264"/>
      <c r="H37" s="264"/>
      <c r="I37" s="264"/>
      <c r="J37" s="264"/>
    </row>
    <row r="38" spans="2:10" ht="22.5" customHeight="1" x14ac:dyDescent="0.25">
      <c r="B38" s="265" t="str">
        <f ca="1">wertvoll!C6</f>
        <v>59.5 Gramm</v>
      </c>
      <c r="C38" s="265"/>
      <c r="D38" s="265"/>
      <c r="E38" s="265"/>
      <c r="F38" s="265"/>
      <c r="G38" s="265"/>
      <c r="H38" s="265"/>
      <c r="I38" s="265"/>
      <c r="J38" s="265"/>
    </row>
    <row r="39" spans="2:10" x14ac:dyDescent="0.25">
      <c r="B39" s="95" t="s">
        <v>100</v>
      </c>
      <c r="C39" s="266" t="s">
        <v>90</v>
      </c>
      <c r="D39" s="266"/>
      <c r="E39" s="266"/>
      <c r="F39" s="266"/>
      <c r="G39" s="266"/>
      <c r="H39" s="266"/>
      <c r="I39" s="266"/>
      <c r="J39" s="266"/>
    </row>
    <row r="40" spans="2:10" ht="22.5" customHeight="1" x14ac:dyDescent="0.25">
      <c r="B40" s="263">
        <f ca="1">wertvoll!D6</f>
        <v>34.51</v>
      </c>
      <c r="C40" s="263"/>
      <c r="D40" s="263"/>
      <c r="E40" s="263"/>
      <c r="F40" s="263"/>
      <c r="G40" s="263"/>
      <c r="H40" s="263"/>
      <c r="I40" s="263"/>
      <c r="J40" s="263"/>
    </row>
    <row r="41" spans="2:10" x14ac:dyDescent="0.25">
      <c r="B41" s="267" t="s">
        <v>105</v>
      </c>
      <c r="C41" s="268"/>
      <c r="D41" s="96"/>
      <c r="E41" s="96"/>
      <c r="F41" s="96"/>
      <c r="G41" s="96"/>
      <c r="H41" s="96"/>
      <c r="I41" s="96"/>
      <c r="J41" s="97"/>
    </row>
    <row r="42" spans="2:10" x14ac:dyDescent="0.25">
      <c r="B42" s="255" t="s">
        <v>107</v>
      </c>
      <c r="C42" s="256"/>
      <c r="D42" s="257" t="s">
        <v>106</v>
      </c>
      <c r="E42" s="257"/>
      <c r="F42" s="257"/>
      <c r="G42" s="257"/>
      <c r="H42" s="257"/>
      <c r="I42" s="257"/>
      <c r="J42" s="258"/>
    </row>
    <row r="43" spans="2:10" x14ac:dyDescent="0.25">
      <c r="B43" s="259" t="s">
        <v>108</v>
      </c>
      <c r="C43" s="260"/>
      <c r="D43" s="261" t="s">
        <v>109</v>
      </c>
      <c r="E43" s="261"/>
      <c r="F43" s="261"/>
      <c r="G43" s="261"/>
      <c r="H43" s="261"/>
      <c r="I43" s="261"/>
      <c r="J43" s="262"/>
    </row>
  </sheetData>
  <sheetProtection algorithmName="SHA-512" hashValue="7YwryNcb3v1z5hWzUKYhkCtDrT/4wXxOsvWGCNc2OjD6Ntho048RDUqNKy9L9P200Xq9R4gAghwTlPPb8PTwqg==" saltValue="A4xEYUX46RJKEBGQj/TBgA==" spinCount="100000" sheet="1" objects="1" scenarios="1" selectLockedCells="1" selectUnlockedCells="1"/>
  <mergeCells count="34">
    <mergeCell ref="C23:J23"/>
    <mergeCell ref="B2:E2"/>
    <mergeCell ref="G2:H2"/>
    <mergeCell ref="B4:J4"/>
    <mergeCell ref="B6:J6"/>
    <mergeCell ref="B7:J7"/>
    <mergeCell ref="C17:J17"/>
    <mergeCell ref="B18:J18"/>
    <mergeCell ref="C19:J19"/>
    <mergeCell ref="B20:J20"/>
    <mergeCell ref="C21:J21"/>
    <mergeCell ref="B22:J22"/>
    <mergeCell ref="C35:J35"/>
    <mergeCell ref="B24:J24"/>
    <mergeCell ref="C25:J25"/>
    <mergeCell ref="B26:J26"/>
    <mergeCell ref="C27:J27"/>
    <mergeCell ref="B28:J28"/>
    <mergeCell ref="C29:J29"/>
    <mergeCell ref="B30:J30"/>
    <mergeCell ref="C31:J31"/>
    <mergeCell ref="B32:J32"/>
    <mergeCell ref="C33:J33"/>
    <mergeCell ref="B34:J34"/>
    <mergeCell ref="B42:C42"/>
    <mergeCell ref="D42:J42"/>
    <mergeCell ref="B43:C43"/>
    <mergeCell ref="D43:J43"/>
    <mergeCell ref="B36:J36"/>
    <mergeCell ref="C37:J37"/>
    <mergeCell ref="B38:J38"/>
    <mergeCell ref="C39:J39"/>
    <mergeCell ref="B40:J40"/>
    <mergeCell ref="B41:C41"/>
  </mergeCells>
  <pageMargins left="0.7" right="0.7" top="0.78740157499999996" bottom="0.78740157499999996" header="0.3" footer="0.3"/>
  <pageSetup paperSize="9" orientation="portrait" r:id="rId1"/>
  <headerFooter>
    <oddFooter>&amp;L&amp;"-,Fett Kursiv"&amp;10Franz Feldmann &amp;"-,Kursiv"&amp;9www.e13.ch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40"/>
  <sheetViews>
    <sheetView showGridLines="0" showRowColHeaders="0" topLeftCell="A15" zoomScaleNormal="100" workbookViewId="0">
      <selection activeCell="B37" sqref="B37"/>
    </sheetView>
  </sheetViews>
  <sheetFormatPr baseColWidth="10" defaultRowHeight="15" x14ac:dyDescent="0.25"/>
  <cols>
    <col min="1" max="2" width="5.140625" customWidth="1"/>
    <col min="3" max="3" width="5.85546875" customWidth="1"/>
    <col min="4" max="4" width="2" customWidth="1"/>
    <col min="5" max="5" width="6.42578125" style="113" customWidth="1"/>
    <col min="6" max="6" width="2.140625" customWidth="1"/>
    <col min="7" max="7" width="5.140625" customWidth="1"/>
    <col min="8" max="8" width="12.140625" customWidth="1"/>
    <col min="9" max="9" width="6.42578125" customWidth="1"/>
    <col min="10" max="10" width="2.140625" customWidth="1"/>
    <col min="11" max="11" width="7.140625" customWidth="1"/>
    <col min="12" max="12" width="7.5703125" customWidth="1"/>
    <col min="13" max="13" width="2.140625" customWidth="1"/>
    <col min="14" max="14" width="7.85546875" customWidth="1"/>
    <col min="15" max="15" width="2.5703125" customWidth="1"/>
    <col min="16" max="16" width="4.140625" customWidth="1"/>
    <col min="17" max="17" width="7.140625" customWidth="1"/>
    <col min="18" max="18" width="12.140625" customWidth="1"/>
  </cols>
  <sheetData>
    <row r="2" spans="2:20" ht="22.5" customHeight="1" x14ac:dyDescent="0.25">
      <c r="B2" s="98" t="s">
        <v>127</v>
      </c>
      <c r="C2" s="99"/>
      <c r="D2" s="99"/>
      <c r="E2" s="112"/>
      <c r="F2" s="48"/>
      <c r="G2" s="48"/>
      <c r="H2" s="135"/>
      <c r="I2" s="275" t="s">
        <v>110</v>
      </c>
      <c r="J2" s="275"/>
      <c r="K2" s="286"/>
      <c r="L2" s="286"/>
      <c r="M2" s="135"/>
      <c r="N2" s="135"/>
      <c r="O2" s="275" t="s">
        <v>101</v>
      </c>
      <c r="P2" s="275"/>
      <c r="Q2" s="60" t="s">
        <v>139</v>
      </c>
    </row>
    <row r="3" spans="2:20" ht="6.75" customHeight="1" x14ac:dyDescent="0.25">
      <c r="B3" s="136"/>
      <c r="C3" s="37"/>
      <c r="D3" s="37"/>
      <c r="E3" s="133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134"/>
    </row>
    <row r="4" spans="2:20" ht="18" customHeight="1" x14ac:dyDescent="0.25">
      <c r="B4" s="289" t="s">
        <v>128</v>
      </c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137"/>
      <c r="N4" s="37"/>
      <c r="O4" s="37"/>
      <c r="P4" s="37"/>
      <c r="Q4" s="134"/>
    </row>
    <row r="5" spans="2:20" ht="4.5" customHeight="1" x14ac:dyDescent="0.25">
      <c r="B5" s="136"/>
      <c r="C5" s="37"/>
      <c r="D5" s="37"/>
      <c r="E5" s="133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134"/>
    </row>
    <row r="6" spans="2:20" s="18" customFormat="1" ht="18" customHeight="1" x14ac:dyDescent="0.2">
      <c r="B6" s="276" t="s">
        <v>129</v>
      </c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8"/>
      <c r="O6" s="119"/>
      <c r="P6" s="119"/>
      <c r="Q6" s="138"/>
      <c r="R6" s="108"/>
      <c r="S6" s="108"/>
      <c r="T6" s="35"/>
    </row>
    <row r="7" spans="2:20" s="5" customFormat="1" ht="18.75" customHeight="1" x14ac:dyDescent="0.25">
      <c r="B7" s="282" t="s">
        <v>12</v>
      </c>
      <c r="C7" s="283"/>
      <c r="D7" s="144"/>
      <c r="E7" s="145">
        <f>wenig_Wert!J2</f>
        <v>2.71</v>
      </c>
      <c r="F7" s="144"/>
      <c r="G7" s="284" t="s">
        <v>4</v>
      </c>
      <c r="H7" s="285"/>
      <c r="I7" s="145">
        <f>wenig_Wert!J13</f>
        <v>0.92</v>
      </c>
      <c r="J7" s="144"/>
      <c r="K7" s="284" t="s">
        <v>125</v>
      </c>
      <c r="L7" s="285"/>
      <c r="M7" s="146"/>
      <c r="N7" s="147">
        <f>wenig_Wert!J24</f>
        <v>13.595000000000001</v>
      </c>
      <c r="O7" s="120"/>
      <c r="P7" s="117"/>
      <c r="Q7" s="109"/>
      <c r="R7" s="121"/>
      <c r="S7" s="122"/>
      <c r="T7" s="111"/>
    </row>
    <row r="8" spans="2:20" s="5" customFormat="1" ht="18.75" customHeight="1" x14ac:dyDescent="0.25">
      <c r="B8" s="282" t="s">
        <v>8</v>
      </c>
      <c r="C8" s="283"/>
      <c r="D8" s="144"/>
      <c r="E8" s="145">
        <f>wenig_Wert!J3</f>
        <v>2.4500000000000002</v>
      </c>
      <c r="F8" s="144"/>
      <c r="G8" s="282" t="s">
        <v>18</v>
      </c>
      <c r="H8" s="283"/>
      <c r="I8" s="145">
        <f>wenig_Wert!J14</f>
        <v>7.25</v>
      </c>
      <c r="J8" s="144"/>
      <c r="K8" s="282" t="s">
        <v>36</v>
      </c>
      <c r="L8" s="283"/>
      <c r="M8" s="146"/>
      <c r="N8" s="147">
        <f>wenig_Wert!J25</f>
        <v>2.0699999999999998</v>
      </c>
      <c r="O8" s="120"/>
      <c r="P8" s="111"/>
      <c r="Q8" s="109"/>
      <c r="R8" s="121"/>
      <c r="S8" s="122"/>
      <c r="T8" s="111"/>
    </row>
    <row r="9" spans="2:20" s="5" customFormat="1" ht="18.75" customHeight="1" x14ac:dyDescent="0.25">
      <c r="B9" s="282" t="s">
        <v>27</v>
      </c>
      <c r="C9" s="283"/>
      <c r="D9" s="144"/>
      <c r="E9" s="145">
        <f>wenig_Wert!J4</f>
        <v>11.34</v>
      </c>
      <c r="F9" s="144"/>
      <c r="G9" s="284" t="s">
        <v>31</v>
      </c>
      <c r="H9" s="285"/>
      <c r="I9" s="145">
        <f>wenig_Wert!J15</f>
        <v>2.25</v>
      </c>
      <c r="J9" s="144"/>
      <c r="K9" s="282" t="s">
        <v>22</v>
      </c>
      <c r="L9" s="283"/>
      <c r="M9" s="146"/>
      <c r="N9" s="147">
        <f>wenig_Wert!J26</f>
        <v>7.9</v>
      </c>
      <c r="O9" s="120"/>
      <c r="P9" s="111"/>
      <c r="Q9" s="109"/>
      <c r="R9" s="121"/>
      <c r="S9" s="122"/>
      <c r="T9" s="111"/>
    </row>
    <row r="10" spans="2:20" s="5" customFormat="1" ht="18.75" customHeight="1" x14ac:dyDescent="0.25">
      <c r="B10" s="282" t="s">
        <v>2</v>
      </c>
      <c r="C10" s="283"/>
      <c r="D10" s="144"/>
      <c r="E10" s="145">
        <f>wenig_Wert!J5</f>
        <v>0.8</v>
      </c>
      <c r="F10" s="144"/>
      <c r="G10" s="282" t="s">
        <v>0</v>
      </c>
      <c r="H10" s="283"/>
      <c r="I10" s="145">
        <f>wenig_Wert!J16</f>
        <v>0.48</v>
      </c>
      <c r="J10" s="144"/>
      <c r="K10" s="282" t="s">
        <v>21</v>
      </c>
      <c r="L10" s="283"/>
      <c r="M10" s="146"/>
      <c r="N10" s="147">
        <f>wenig_Wert!J27</f>
        <v>7.85</v>
      </c>
      <c r="O10" s="120"/>
      <c r="P10" s="111"/>
      <c r="Q10" s="109"/>
      <c r="R10" s="121"/>
      <c r="S10" s="122"/>
      <c r="T10" s="111"/>
    </row>
    <row r="11" spans="2:20" s="5" customFormat="1" ht="18.75" customHeight="1" x14ac:dyDescent="0.25">
      <c r="B11" s="282" t="s">
        <v>126</v>
      </c>
      <c r="C11" s="283"/>
      <c r="D11" s="144"/>
      <c r="E11" s="145">
        <f>wenig_Wert!J6</f>
        <v>0.91700000000000004</v>
      </c>
      <c r="F11" s="144"/>
      <c r="G11" s="282" t="s">
        <v>25</v>
      </c>
      <c r="H11" s="283"/>
      <c r="I11" s="145">
        <f>wenig_Wert!J17</f>
        <v>8.9600000000000009</v>
      </c>
      <c r="J11" s="148"/>
      <c r="K11" s="282" t="s">
        <v>6</v>
      </c>
      <c r="L11" s="283"/>
      <c r="M11" s="146"/>
      <c r="N11" s="147">
        <f>wenig_Wert!J28</f>
        <v>1.35</v>
      </c>
      <c r="O11" s="120"/>
      <c r="P11" s="111"/>
      <c r="Q11" s="109"/>
      <c r="R11" s="121"/>
      <c r="S11" s="122"/>
      <c r="T11" s="111"/>
    </row>
    <row r="12" spans="2:20" s="5" customFormat="1" ht="18.75" customHeight="1" x14ac:dyDescent="0.25">
      <c r="B12" s="282" t="s">
        <v>32</v>
      </c>
      <c r="C12" s="283"/>
      <c r="D12" s="144"/>
      <c r="E12" s="145">
        <f>wenig_Wert!J7</f>
        <v>7.86</v>
      </c>
      <c r="F12" s="144"/>
      <c r="G12" s="282" t="s">
        <v>7</v>
      </c>
      <c r="H12" s="283"/>
      <c r="I12" s="145">
        <f>wenig_Wert!J18</f>
        <v>1.738</v>
      </c>
      <c r="J12" s="144"/>
      <c r="K12" s="282" t="s">
        <v>5</v>
      </c>
      <c r="L12" s="283"/>
      <c r="M12" s="146"/>
      <c r="N12" s="147">
        <f>wenig_Wert!J29</f>
        <v>1</v>
      </c>
      <c r="O12" s="120"/>
      <c r="P12" s="111"/>
      <c r="Q12" s="109"/>
      <c r="R12" s="121"/>
      <c r="S12" s="122"/>
      <c r="T12" s="111"/>
    </row>
    <row r="13" spans="2:20" s="5" customFormat="1" ht="18.75" customHeight="1" x14ac:dyDescent="0.25">
      <c r="B13" s="282" t="s">
        <v>20</v>
      </c>
      <c r="C13" s="283"/>
      <c r="D13" s="144"/>
      <c r="E13" s="145">
        <f>wenig_Wert!J8</f>
        <v>7.7</v>
      </c>
      <c r="F13" s="144"/>
      <c r="G13" s="282" t="s">
        <v>23</v>
      </c>
      <c r="H13" s="283"/>
      <c r="I13" s="145">
        <f>wenig_Wert!J19</f>
        <v>8.1</v>
      </c>
      <c r="J13" s="148"/>
      <c r="K13" s="282" t="s">
        <v>14</v>
      </c>
      <c r="L13" s="283"/>
      <c r="M13" s="146"/>
      <c r="N13" s="147">
        <f>wenig_Wert!J30</f>
        <v>3.1</v>
      </c>
      <c r="O13" s="110"/>
      <c r="P13" s="111"/>
      <c r="Q13" s="109"/>
      <c r="R13" s="110"/>
      <c r="S13" s="110"/>
      <c r="T13" s="111"/>
    </row>
    <row r="14" spans="2:20" s="5" customFormat="1" ht="18.75" customHeight="1" x14ac:dyDescent="0.25">
      <c r="B14" s="282" t="s">
        <v>11</v>
      </c>
      <c r="C14" s="283"/>
      <c r="D14" s="144"/>
      <c r="E14" s="145">
        <f>wenig_Wert!J9</f>
        <v>2.5</v>
      </c>
      <c r="F14" s="144"/>
      <c r="G14" s="282" t="s">
        <v>24</v>
      </c>
      <c r="H14" s="283"/>
      <c r="I14" s="145">
        <f>wenig_Wert!J20</f>
        <v>8.91</v>
      </c>
      <c r="J14" s="144"/>
      <c r="K14" s="282" t="s">
        <v>16</v>
      </c>
      <c r="L14" s="283"/>
      <c r="M14" s="124"/>
      <c r="N14" s="147">
        <f>wenig_Wert!J31</f>
        <v>7.13</v>
      </c>
      <c r="O14" s="110"/>
      <c r="P14" s="111"/>
      <c r="Q14" s="109"/>
      <c r="R14" s="110"/>
      <c r="S14" s="110"/>
      <c r="T14" s="111"/>
    </row>
    <row r="15" spans="2:20" s="5" customFormat="1" ht="18.75" customHeight="1" x14ac:dyDescent="0.25">
      <c r="B15" s="282" t="s">
        <v>1</v>
      </c>
      <c r="C15" s="283"/>
      <c r="D15" s="144"/>
      <c r="E15" s="145">
        <f>wenig_Wert!J10</f>
        <v>0.5</v>
      </c>
      <c r="F15" s="144"/>
      <c r="G15" s="282" t="s">
        <v>39</v>
      </c>
      <c r="H15" s="283"/>
      <c r="I15" s="145">
        <f>wenig_Wert!J21</f>
        <v>0.8</v>
      </c>
      <c r="J15" s="144"/>
      <c r="K15" s="282" t="s">
        <v>19</v>
      </c>
      <c r="L15" s="283"/>
      <c r="M15" s="149"/>
      <c r="N15" s="147">
        <f>wenig_Wert!J32</f>
        <v>7.28</v>
      </c>
      <c r="O15" s="110"/>
      <c r="P15" s="111"/>
      <c r="Q15" s="109"/>
      <c r="R15" s="110"/>
      <c r="S15" s="110"/>
      <c r="T15" s="111"/>
    </row>
    <row r="16" spans="2:20" s="5" customFormat="1" ht="18.75" customHeight="1" x14ac:dyDescent="0.25">
      <c r="B16" s="282" t="s">
        <v>10</v>
      </c>
      <c r="C16" s="283"/>
      <c r="D16" s="144"/>
      <c r="E16" s="145">
        <f>wenig_Wert!J11</f>
        <v>2.2999999999999998</v>
      </c>
      <c r="F16" s="144"/>
      <c r="G16" s="284" t="s">
        <v>34</v>
      </c>
      <c r="H16" s="285"/>
      <c r="I16" s="145">
        <f>wenig_Wert!J22</f>
        <v>1.19</v>
      </c>
      <c r="J16" s="144"/>
      <c r="K16" s="150"/>
      <c r="L16" s="144"/>
      <c r="M16" s="124"/>
      <c r="N16" s="151"/>
      <c r="O16" s="110"/>
      <c r="P16" s="111"/>
      <c r="Q16" s="109"/>
      <c r="R16" s="110"/>
      <c r="S16" s="111"/>
      <c r="T16" s="111"/>
    </row>
    <row r="17" spans="2:20" s="5" customFormat="1" ht="18.75" customHeight="1" x14ac:dyDescent="0.25">
      <c r="B17" s="287" t="s">
        <v>13</v>
      </c>
      <c r="C17" s="288"/>
      <c r="D17" s="152"/>
      <c r="E17" s="153">
        <f>wenig_Wert!J12</f>
        <v>2.8</v>
      </c>
      <c r="F17" s="152"/>
      <c r="G17" s="287" t="s">
        <v>9</v>
      </c>
      <c r="H17" s="288"/>
      <c r="I17" s="153">
        <f>wenig_Wert!J23</f>
        <v>2.2000000000000002</v>
      </c>
      <c r="J17" s="152"/>
      <c r="K17" s="154"/>
      <c r="L17" s="152"/>
      <c r="M17" s="155"/>
      <c r="N17" s="156"/>
      <c r="O17" s="110"/>
      <c r="P17" s="111"/>
      <c r="Q17" s="109"/>
      <c r="R17" s="110"/>
      <c r="S17" s="111"/>
      <c r="T17" s="111"/>
    </row>
    <row r="18" spans="2:20" s="5" customFormat="1" ht="6.75" customHeight="1" x14ac:dyDescent="0.25">
      <c r="B18" s="139"/>
      <c r="C18" s="128"/>
      <c r="D18" s="128"/>
      <c r="E18" s="111"/>
      <c r="F18" s="125"/>
      <c r="G18" s="126"/>
      <c r="H18" s="111"/>
      <c r="I18" s="127"/>
      <c r="J18" s="127"/>
      <c r="K18" s="111"/>
      <c r="L18" s="125"/>
      <c r="M18" s="118"/>
      <c r="N18" s="110"/>
      <c r="O18" s="110"/>
      <c r="P18" s="111"/>
      <c r="Q18" s="109"/>
      <c r="R18" s="110"/>
      <c r="S18" s="111"/>
      <c r="T18" s="111"/>
    </row>
    <row r="19" spans="2:20" s="131" customFormat="1" ht="21" customHeight="1" x14ac:dyDescent="0.25">
      <c r="B19" s="161" t="str">
        <f>CONCATENATE($Q$2,".1")</f>
        <v>A.1</v>
      </c>
      <c r="C19" s="281" t="str">
        <f ca="1">wenig_Wert!B1</f>
        <v>Eine Firma bestellt 4159.4 Kilogramm Quarzglas. Wie gross ist das Volumen in m³?</v>
      </c>
      <c r="D19" s="281"/>
      <c r="E19" s="281"/>
      <c r="F19" s="281"/>
      <c r="G19" s="281"/>
      <c r="H19" s="281"/>
      <c r="I19" s="281"/>
      <c r="J19" s="281"/>
      <c r="K19" s="281"/>
      <c r="L19" s="281"/>
      <c r="M19" s="281"/>
      <c r="N19" s="281"/>
      <c r="O19" s="281"/>
      <c r="P19" s="279"/>
      <c r="Q19" s="280"/>
      <c r="R19" s="130"/>
      <c r="S19" s="132"/>
      <c r="T19" s="132"/>
    </row>
    <row r="20" spans="2:20" s="131" customFormat="1" ht="21" customHeight="1" x14ac:dyDescent="0.25">
      <c r="B20" s="161" t="str">
        <f>CONCATENATE($Q$2,".2")</f>
        <v>A.2</v>
      </c>
      <c r="C20" s="281" t="str">
        <f ca="1">wenig_Wert!B2</f>
        <v>Eine Firma kauft 5.79326 m³ Gummi (Kautschuk). Wie viele Tonnen sind das?</v>
      </c>
      <c r="D20" s="281"/>
      <c r="E20" s="281"/>
      <c r="F20" s="281"/>
      <c r="G20" s="281"/>
      <c r="H20" s="281"/>
      <c r="I20" s="281"/>
      <c r="J20" s="281"/>
      <c r="K20" s="281"/>
      <c r="L20" s="281"/>
      <c r="M20" s="281"/>
      <c r="N20" s="281"/>
      <c r="O20" s="281"/>
      <c r="P20" s="279"/>
      <c r="Q20" s="280"/>
      <c r="R20" s="130"/>
      <c r="S20" s="132"/>
      <c r="T20" s="132"/>
    </row>
    <row r="21" spans="2:20" s="131" customFormat="1" ht="21" customHeight="1" x14ac:dyDescent="0.25">
      <c r="B21" s="161" t="str">
        <f>CONCATENATE($Q$2,".3")</f>
        <v>A.3</v>
      </c>
      <c r="C21" s="281" t="str">
        <f ca="1">wenig_Wert!B3</f>
        <v>Ein Händler bestellt 8.3002 Tonnen Plexiglas. Wie gross ist das Volumen in dm³?</v>
      </c>
      <c r="D21" s="281"/>
      <c r="E21" s="281"/>
      <c r="F21" s="281"/>
      <c r="G21" s="281"/>
      <c r="H21" s="281"/>
      <c r="I21" s="281"/>
      <c r="J21" s="281"/>
      <c r="K21" s="281"/>
      <c r="L21" s="281"/>
      <c r="M21" s="281"/>
      <c r="N21" s="281"/>
      <c r="O21" s="281"/>
      <c r="P21" s="279"/>
      <c r="Q21" s="280"/>
      <c r="R21" s="130"/>
      <c r="S21" s="132"/>
      <c r="T21" s="132"/>
    </row>
    <row r="22" spans="2:20" s="131" customFormat="1" ht="21" customHeight="1" x14ac:dyDescent="0.25">
      <c r="B22" s="161" t="str">
        <f>CONCATENATE($Q$2,".4")</f>
        <v>A.4</v>
      </c>
      <c r="C22" s="281" t="str">
        <f ca="1">wenig_Wert!B4</f>
        <v>Eine Firma bestellt 0.7527 m³ Kupfer. Wie viele Tonnen sind das?</v>
      </c>
      <c r="D22" s="281"/>
      <c r="E22" s="281"/>
      <c r="F22" s="281"/>
      <c r="G22" s="281"/>
      <c r="H22" s="281"/>
      <c r="I22" s="281"/>
      <c r="J22" s="281"/>
      <c r="K22" s="281"/>
      <c r="L22" s="281"/>
      <c r="M22" s="281"/>
      <c r="N22" s="281"/>
      <c r="O22" s="281"/>
      <c r="P22" s="279"/>
      <c r="Q22" s="280"/>
      <c r="R22" s="130"/>
      <c r="S22" s="132"/>
      <c r="T22" s="132"/>
    </row>
    <row r="23" spans="2:20" s="131" customFormat="1" ht="21" customHeight="1" x14ac:dyDescent="0.25">
      <c r="B23" s="161" t="str">
        <f>CONCATENATE($Q$2,".5")</f>
        <v>A.5</v>
      </c>
      <c r="C23" s="281" t="str">
        <f ca="1">wenig_Wert!B5</f>
        <v>Ein Händler kauft 5.5174 Tonnen Gusseisen. Wie gross ist das Volumen in dm³?</v>
      </c>
      <c r="D23" s="281"/>
      <c r="E23" s="281"/>
      <c r="F23" s="281"/>
      <c r="G23" s="281"/>
      <c r="H23" s="281"/>
      <c r="I23" s="281"/>
      <c r="J23" s="281"/>
      <c r="K23" s="281"/>
      <c r="L23" s="281"/>
      <c r="M23" s="281"/>
      <c r="N23" s="281"/>
      <c r="O23" s="281"/>
      <c r="P23" s="279"/>
      <c r="Q23" s="280"/>
      <c r="R23" s="130"/>
      <c r="S23" s="132"/>
      <c r="T23" s="132"/>
    </row>
    <row r="24" spans="2:20" s="131" customFormat="1" ht="21" customHeight="1" x14ac:dyDescent="0.25">
      <c r="B24" s="161" t="str">
        <f>CONCATENATE($Q$2,".6")</f>
        <v>A.6</v>
      </c>
      <c r="C24" s="281" t="str">
        <f ca="1">wenig_Wert!B6</f>
        <v>Ein Händler bestellt 80.308 dm³ Quecksilber. Wie viele Kilogramm sind das?</v>
      </c>
      <c r="D24" s="281"/>
      <c r="E24" s="281"/>
      <c r="F24" s="281"/>
      <c r="G24" s="281"/>
      <c r="H24" s="281"/>
      <c r="I24" s="281"/>
      <c r="J24" s="281"/>
      <c r="K24" s="281"/>
      <c r="L24" s="281"/>
      <c r="M24" s="281"/>
      <c r="N24" s="281"/>
      <c r="O24" s="281"/>
      <c r="P24" s="279"/>
      <c r="Q24" s="280"/>
      <c r="R24" s="130"/>
      <c r="S24" s="132"/>
      <c r="T24" s="132"/>
    </row>
    <row r="25" spans="2:20" s="131" customFormat="1" ht="21" customHeight="1" x14ac:dyDescent="0.25">
      <c r="B25" s="161" t="str">
        <f>CONCATENATE($Q$2,".7")</f>
        <v>A.7</v>
      </c>
      <c r="C25" s="281" t="str">
        <f ca="1">wenig_Wert!B7</f>
        <v>Eine Firma kauft 888.75 dm³ Kork. Wie viele Kilogramm sind das?</v>
      </c>
      <c r="D25" s="281"/>
      <c r="E25" s="281"/>
      <c r="F25" s="281"/>
      <c r="G25" s="281"/>
      <c r="H25" s="281"/>
      <c r="I25" s="281"/>
      <c r="J25" s="281"/>
      <c r="K25" s="281"/>
      <c r="L25" s="281"/>
      <c r="M25" s="281"/>
      <c r="N25" s="281"/>
      <c r="O25" s="281"/>
      <c r="P25" s="279"/>
      <c r="Q25" s="280"/>
      <c r="R25" s="132"/>
      <c r="S25" s="132"/>
      <c r="T25" s="132"/>
    </row>
    <row r="26" spans="2:20" s="131" customFormat="1" ht="21" customHeight="1" x14ac:dyDescent="0.25">
      <c r="B26" s="161" t="str">
        <f>CONCATENATE($Q$2,".8")</f>
        <v>A.8</v>
      </c>
      <c r="C26" s="281" t="str">
        <f ca="1">wenig_Wert!B8</f>
        <v>Ein Händler bestellt 1638.4 Kilogramm Beton. Wie gross ist das Volumen in m³?</v>
      </c>
      <c r="D26" s="281"/>
      <c r="E26" s="281"/>
      <c r="F26" s="281"/>
      <c r="G26" s="281"/>
      <c r="H26" s="281"/>
      <c r="I26" s="281"/>
      <c r="J26" s="281"/>
      <c r="K26" s="281"/>
      <c r="L26" s="281"/>
      <c r="M26" s="281"/>
      <c r="N26" s="281"/>
      <c r="O26" s="281"/>
      <c r="P26" s="279"/>
      <c r="Q26" s="280"/>
      <c r="R26" s="132"/>
      <c r="S26" s="132"/>
      <c r="T26" s="132"/>
    </row>
    <row r="27" spans="2:20" s="131" customFormat="1" ht="21" customHeight="1" x14ac:dyDescent="0.25">
      <c r="B27" s="161" t="str">
        <f>CONCATENATE($Q$2,".9")</f>
        <v>A.9</v>
      </c>
      <c r="C27" s="281" t="str">
        <f ca="1">wenig_Wert!B9</f>
        <v>Ein Händler kauft 1373.642 dm³ Granit. Wie viele Kilogramm sind das?</v>
      </c>
      <c r="D27" s="281"/>
      <c r="E27" s="281"/>
      <c r="F27" s="281"/>
      <c r="G27" s="281"/>
      <c r="H27" s="281"/>
      <c r="I27" s="281"/>
      <c r="J27" s="281"/>
      <c r="K27" s="281"/>
      <c r="L27" s="281"/>
      <c r="M27" s="281"/>
      <c r="N27" s="281"/>
      <c r="O27" s="281"/>
      <c r="P27" s="279"/>
      <c r="Q27" s="280"/>
      <c r="R27" s="132"/>
      <c r="S27" s="132"/>
      <c r="T27" s="132"/>
    </row>
    <row r="28" spans="2:20" s="131" customFormat="1" ht="21" customHeight="1" x14ac:dyDescent="0.25">
      <c r="B28" s="161" t="str">
        <f>CONCATENATE($Q$2,".10")</f>
        <v>A.10</v>
      </c>
      <c r="C28" s="281" t="str">
        <f ca="1">wenig_Wert!B10</f>
        <v>Ein Händler kauft 2294.4 Kilogramm Kohlenstoff . Wie gross ist das Volumen in m³?</v>
      </c>
      <c r="D28" s="281"/>
      <c r="E28" s="281"/>
      <c r="F28" s="281"/>
      <c r="G28" s="281"/>
      <c r="H28" s="281"/>
      <c r="I28" s="281"/>
      <c r="J28" s="281"/>
      <c r="K28" s="281"/>
      <c r="L28" s="281"/>
      <c r="M28" s="281"/>
      <c r="N28" s="281"/>
      <c r="O28" s="281"/>
      <c r="P28" s="279"/>
      <c r="Q28" s="280"/>
      <c r="R28" s="132"/>
      <c r="S28" s="132"/>
      <c r="T28" s="132"/>
    </row>
    <row r="29" spans="2:20" s="131" customFormat="1" ht="21" customHeight="1" x14ac:dyDescent="0.25">
      <c r="B29" s="161" t="str">
        <f>CONCATENATE($Q$2,".11")</f>
        <v>A.11</v>
      </c>
      <c r="C29" s="281" t="str">
        <f ca="1">wenig_Wert!B11</f>
        <v>Ein Händler bestellt 1187.884 dm³ Zinn. Wie viele Kilogramm sind das?</v>
      </c>
      <c r="D29" s="281"/>
      <c r="E29" s="281"/>
      <c r="F29" s="281"/>
      <c r="G29" s="281"/>
      <c r="H29" s="281"/>
      <c r="I29" s="281"/>
      <c r="J29" s="281"/>
      <c r="K29" s="281"/>
      <c r="L29" s="281"/>
      <c r="M29" s="281"/>
      <c r="N29" s="281"/>
      <c r="O29" s="281"/>
      <c r="P29" s="279"/>
      <c r="Q29" s="280"/>
      <c r="R29" s="132"/>
      <c r="S29" s="132"/>
      <c r="T29" s="132"/>
    </row>
    <row r="30" spans="2:20" s="131" customFormat="1" ht="21" customHeight="1" x14ac:dyDescent="0.25">
      <c r="B30" s="161" t="str">
        <f>CONCATENATE($Q$2,".12")</f>
        <v>A.12</v>
      </c>
      <c r="C30" s="281" t="str">
        <f ca="1">wenig_Wert!B12</f>
        <v>Eine Firma kauft 3.0724 Tonnen Magnesium. Wie gross ist das Volumen in dm³?</v>
      </c>
      <c r="D30" s="281"/>
      <c r="E30" s="281"/>
      <c r="F30" s="281"/>
      <c r="G30" s="281"/>
      <c r="H30" s="281"/>
      <c r="I30" s="281"/>
      <c r="J30" s="281"/>
      <c r="K30" s="281"/>
      <c r="L30" s="281"/>
      <c r="M30" s="281"/>
      <c r="N30" s="281"/>
      <c r="O30" s="281"/>
      <c r="P30" s="279"/>
      <c r="Q30" s="280"/>
      <c r="R30" s="132"/>
      <c r="S30" s="132"/>
      <c r="T30" s="132"/>
    </row>
    <row r="31" spans="2:20" s="131" customFormat="1" ht="21" customHeight="1" x14ac:dyDescent="0.25">
      <c r="B31" s="161" t="str">
        <f>CONCATENATE($Q$2,".13")</f>
        <v>A.13</v>
      </c>
      <c r="C31" s="281" t="str">
        <f ca="1">wenig_Wert!B13</f>
        <v>Eine Firma kauft 1055.584 dm³ Eisenstahl. Wie viele Kilogramm sind das?</v>
      </c>
      <c r="D31" s="281"/>
      <c r="E31" s="281"/>
      <c r="F31" s="281"/>
      <c r="G31" s="281"/>
      <c r="H31" s="281"/>
      <c r="I31" s="281"/>
      <c r="J31" s="281"/>
      <c r="K31" s="281"/>
      <c r="L31" s="281"/>
      <c r="M31" s="281"/>
      <c r="N31" s="281"/>
      <c r="O31" s="281"/>
      <c r="P31" s="279"/>
      <c r="Q31" s="280"/>
      <c r="R31" s="132"/>
      <c r="S31" s="132"/>
      <c r="T31" s="132"/>
    </row>
    <row r="32" spans="2:20" s="131" customFormat="1" ht="21" customHeight="1" x14ac:dyDescent="0.25">
      <c r="B32" s="161" t="str">
        <f>CONCATENATE($Q$2,".14")</f>
        <v>A.14</v>
      </c>
      <c r="C32" s="281" t="str">
        <f ca="1">wenig_Wert!B14</f>
        <v>Eine Firma bestellt 2.307922 m³ Schwefel. Wie viele Tonnen sind das?</v>
      </c>
      <c r="D32" s="281"/>
      <c r="E32" s="281"/>
      <c r="F32" s="281"/>
      <c r="G32" s="281"/>
      <c r="H32" s="281"/>
      <c r="I32" s="281"/>
      <c r="J32" s="281"/>
      <c r="K32" s="281"/>
      <c r="L32" s="281"/>
      <c r="M32" s="281"/>
      <c r="N32" s="281"/>
      <c r="O32" s="281"/>
      <c r="P32" s="279"/>
      <c r="Q32" s="280"/>
    </row>
    <row r="33" spans="2:17" s="131" customFormat="1" ht="21" customHeight="1" x14ac:dyDescent="0.25">
      <c r="B33" s="161" t="str">
        <f>CONCATENATE($Q$2,".15")</f>
        <v>A.15</v>
      </c>
      <c r="C33" s="281" t="str">
        <f ca="1">wenig_Wert!B15</f>
        <v>Ein Händler bestellt 4803.407 dm³ Steinkohle. Wie viele Kilogramm sind das?</v>
      </c>
      <c r="D33" s="281"/>
      <c r="E33" s="281"/>
      <c r="F33" s="281"/>
      <c r="G33" s="281"/>
      <c r="H33" s="281"/>
      <c r="I33" s="281"/>
      <c r="J33" s="281"/>
      <c r="K33" s="281"/>
      <c r="L33" s="281"/>
      <c r="M33" s="281"/>
      <c r="N33" s="281"/>
      <c r="O33" s="281"/>
      <c r="P33" s="279"/>
      <c r="Q33" s="280"/>
    </row>
    <row r="34" spans="2:17" s="131" customFormat="1" ht="21" customHeight="1" x14ac:dyDescent="0.25">
      <c r="B34" s="161" t="str">
        <f>CONCATENATE($Q$2,".16")</f>
        <v>A.16</v>
      </c>
      <c r="C34" s="281" t="str">
        <f ca="1">wenig_Wert!B16</f>
        <v>Ein Händler kauft 3.6564 m³ Wasser (bei 0 °C). Wie viele Tonnen sind das?</v>
      </c>
      <c r="D34" s="281"/>
      <c r="E34" s="281"/>
      <c r="F34" s="281"/>
      <c r="G34" s="281"/>
      <c r="H34" s="281"/>
      <c r="I34" s="281"/>
      <c r="J34" s="281"/>
      <c r="K34" s="281"/>
      <c r="L34" s="281"/>
      <c r="M34" s="281"/>
      <c r="N34" s="281"/>
      <c r="O34" s="281"/>
      <c r="P34" s="279"/>
      <c r="Q34" s="280"/>
    </row>
    <row r="35" spans="2:17" s="131" customFormat="1" ht="21" customHeight="1" x14ac:dyDescent="0.25">
      <c r="B35" s="161" t="str">
        <f>CONCATENATE($Q$2,".17")</f>
        <v>A.17</v>
      </c>
      <c r="C35" s="281" t="str">
        <f ca="1">wenig_Wert!B17</f>
        <v>Ein Händler kauft 1126.4 Kilogramm Gips. Wie gross ist das Volumen in m³?</v>
      </c>
      <c r="D35" s="281"/>
      <c r="E35" s="281"/>
      <c r="F35" s="281"/>
      <c r="G35" s="281"/>
      <c r="H35" s="281"/>
      <c r="I35" s="281"/>
      <c r="J35" s="281"/>
      <c r="K35" s="281"/>
      <c r="L35" s="281"/>
      <c r="M35" s="281"/>
      <c r="N35" s="281"/>
      <c r="O35" s="281"/>
      <c r="P35" s="279"/>
      <c r="Q35" s="280"/>
    </row>
    <row r="36" spans="2:17" s="131" customFormat="1" ht="21" customHeight="1" x14ac:dyDescent="0.25">
      <c r="B36" s="161" t="str">
        <f>CONCATENATE($Q$2,".18")</f>
        <v>A.18</v>
      </c>
      <c r="C36" s="281" t="str">
        <f ca="1">wenig_Wert!B18</f>
        <v>Eine Firma bestellt 1838.8 Kilogramm Eisen. Wie gross ist das Volumen in m³?</v>
      </c>
      <c r="D36" s="281"/>
      <c r="E36" s="281"/>
      <c r="F36" s="281"/>
      <c r="G36" s="281"/>
      <c r="H36" s="281"/>
      <c r="I36" s="281"/>
      <c r="J36" s="281"/>
      <c r="K36" s="281"/>
      <c r="L36" s="281"/>
      <c r="M36" s="281"/>
      <c r="N36" s="281"/>
      <c r="O36" s="281"/>
      <c r="P36" s="279"/>
      <c r="Q36" s="280"/>
    </row>
    <row r="37" spans="2:17" ht="22.5" customHeight="1" x14ac:dyDescent="0.25">
      <c r="B37" s="140"/>
      <c r="C37" s="123"/>
      <c r="D37" s="123"/>
      <c r="E37" s="141"/>
      <c r="F37" s="123"/>
      <c r="G37" s="123"/>
      <c r="H37" s="123"/>
      <c r="I37" s="123"/>
      <c r="J37" s="123"/>
      <c r="K37" s="123"/>
      <c r="L37" s="123"/>
      <c r="M37" s="123"/>
      <c r="N37" s="37"/>
      <c r="O37" s="37"/>
      <c r="P37" s="37"/>
      <c r="Q37" s="134"/>
    </row>
    <row r="38" spans="2:17" x14ac:dyDescent="0.25">
      <c r="B38" s="100" t="s">
        <v>105</v>
      </c>
      <c r="C38" s="101"/>
      <c r="D38" s="47"/>
      <c r="E38" s="114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19"/>
    </row>
    <row r="39" spans="2:17" x14ac:dyDescent="0.25">
      <c r="B39" s="102" t="s">
        <v>107</v>
      </c>
      <c r="C39" s="103"/>
      <c r="D39" s="104" t="s">
        <v>106</v>
      </c>
      <c r="E39" s="115"/>
      <c r="F39" s="104"/>
      <c r="G39" s="104"/>
      <c r="H39" s="104"/>
      <c r="I39" s="104"/>
      <c r="J39" s="104"/>
      <c r="K39" s="104"/>
      <c r="L39" s="104"/>
      <c r="M39" s="104"/>
      <c r="N39" s="142"/>
      <c r="O39" s="142"/>
      <c r="P39" s="142"/>
      <c r="Q39" s="31"/>
    </row>
    <row r="40" spans="2:17" x14ac:dyDescent="0.25">
      <c r="B40" s="105" t="s">
        <v>108</v>
      </c>
      <c r="C40" s="106"/>
      <c r="D40" s="107" t="s">
        <v>109</v>
      </c>
      <c r="E40" s="116"/>
      <c r="F40" s="107"/>
      <c r="G40" s="107"/>
      <c r="H40" s="107"/>
      <c r="I40" s="107"/>
      <c r="J40" s="107"/>
      <c r="K40" s="107"/>
      <c r="L40" s="107"/>
      <c r="M40" s="107"/>
      <c r="N40" s="143"/>
      <c r="O40" s="143"/>
      <c r="P40" s="143"/>
      <c r="Q40" s="34"/>
    </row>
  </sheetData>
  <sheetProtection algorithmName="SHA-512" hashValue="bKKpNX6LVMFl6v9FwCJ5o+Z/eDW4xiRaRIBIlMAIjhEEI37yr2kHRnJNOwv76GaDOvOWQ8er6rEQFOKfvrhJ7Q==" saltValue="Vtv8Mjg0GiG84olisa7FmA==" spinCount="100000" sheet="1" objects="1" scenarios="1" selectLockedCells="1"/>
  <mergeCells count="72">
    <mergeCell ref="O2:P2"/>
    <mergeCell ref="K2:L2"/>
    <mergeCell ref="G17:H17"/>
    <mergeCell ref="B17:C17"/>
    <mergeCell ref="C36:O36"/>
    <mergeCell ref="G7:H7"/>
    <mergeCell ref="K7:L7"/>
    <mergeCell ref="B15:C15"/>
    <mergeCell ref="B16:C16"/>
    <mergeCell ref="B4:L4"/>
    <mergeCell ref="B7:C7"/>
    <mergeCell ref="B8:C8"/>
    <mergeCell ref="B9:C9"/>
    <mergeCell ref="B10:C10"/>
    <mergeCell ref="G14:H14"/>
    <mergeCell ref="G15:H15"/>
    <mergeCell ref="G16:H16"/>
    <mergeCell ref="G13:H13"/>
    <mergeCell ref="B11:C11"/>
    <mergeCell ref="B12:C12"/>
    <mergeCell ref="B13:C13"/>
    <mergeCell ref="B14:C14"/>
    <mergeCell ref="G8:H8"/>
    <mergeCell ref="G9:H9"/>
    <mergeCell ref="G10:H10"/>
    <mergeCell ref="G11:H11"/>
    <mergeCell ref="G12:H12"/>
    <mergeCell ref="K15:L15"/>
    <mergeCell ref="K8:L8"/>
    <mergeCell ref="K9:L9"/>
    <mergeCell ref="K10:L10"/>
    <mergeCell ref="K11:L11"/>
    <mergeCell ref="K12:L12"/>
    <mergeCell ref="K13:L13"/>
    <mergeCell ref="C34:O34"/>
    <mergeCell ref="C35:O35"/>
    <mergeCell ref="C19:O19"/>
    <mergeCell ref="C20:O20"/>
    <mergeCell ref="C21:O21"/>
    <mergeCell ref="C22:O22"/>
    <mergeCell ref="C23:O23"/>
    <mergeCell ref="C24:O24"/>
    <mergeCell ref="C25:O25"/>
    <mergeCell ref="C26:O26"/>
    <mergeCell ref="C27:O27"/>
    <mergeCell ref="C28:O28"/>
    <mergeCell ref="C29:O29"/>
    <mergeCell ref="P34:Q34"/>
    <mergeCell ref="P35:Q35"/>
    <mergeCell ref="P36:Q36"/>
    <mergeCell ref="P25:Q25"/>
    <mergeCell ref="P26:Q26"/>
    <mergeCell ref="P27:Q27"/>
    <mergeCell ref="P28:Q28"/>
    <mergeCell ref="P29:Q29"/>
    <mergeCell ref="P30:Q30"/>
    <mergeCell ref="I2:J2"/>
    <mergeCell ref="B6:N6"/>
    <mergeCell ref="P31:Q31"/>
    <mergeCell ref="P32:Q32"/>
    <mergeCell ref="P33:Q33"/>
    <mergeCell ref="P19:Q19"/>
    <mergeCell ref="P20:Q20"/>
    <mergeCell ref="P21:Q21"/>
    <mergeCell ref="P22:Q22"/>
    <mergeCell ref="P23:Q23"/>
    <mergeCell ref="P24:Q24"/>
    <mergeCell ref="C30:O30"/>
    <mergeCell ref="C31:O31"/>
    <mergeCell ref="C32:O32"/>
    <mergeCell ref="C33:O33"/>
    <mergeCell ref="K14:L14"/>
  </mergeCells>
  <pageMargins left="0.7" right="0.7" top="0.78740157499999996" bottom="0.78740157499999996" header="0.3" footer="0.3"/>
  <pageSetup paperSize="9" orientation="portrait" r:id="rId1"/>
  <headerFooter>
    <oddFooter>&amp;L&amp;"-,Fett Kursiv"&amp;10Franz Feldmann &amp;"-,Kursiv"&amp;9www.e13.ch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40"/>
  <sheetViews>
    <sheetView showGridLines="0" showRowColHeaders="0" zoomScaleNormal="100" workbookViewId="0">
      <selection activeCell="C30" sqref="C30:O30"/>
    </sheetView>
  </sheetViews>
  <sheetFormatPr baseColWidth="10" defaultRowHeight="15" x14ac:dyDescent="0.25"/>
  <cols>
    <col min="1" max="2" width="5.140625" customWidth="1"/>
    <col min="3" max="3" width="5.85546875" customWidth="1"/>
    <col min="4" max="4" width="2" customWidth="1"/>
    <col min="5" max="5" width="6.42578125" style="113" customWidth="1"/>
    <col min="6" max="6" width="2.140625" customWidth="1"/>
    <col min="7" max="7" width="5.140625" customWidth="1"/>
    <col min="8" max="8" width="12.140625" customWidth="1"/>
    <col min="9" max="9" width="6.42578125" customWidth="1"/>
    <col min="10" max="10" width="2.140625" customWidth="1"/>
    <col min="11" max="11" width="7.140625" customWidth="1"/>
    <col min="12" max="12" width="7.5703125" customWidth="1"/>
    <col min="13" max="13" width="2.140625" customWidth="1"/>
    <col min="14" max="14" width="7.85546875" customWidth="1"/>
    <col min="15" max="15" width="2.5703125" customWidth="1"/>
    <col min="16" max="16" width="4.140625" customWidth="1"/>
    <col min="17" max="17" width="8.42578125" customWidth="1"/>
    <col min="18" max="18" width="12.140625" customWidth="1"/>
  </cols>
  <sheetData>
    <row r="2" spans="2:20" ht="22.5" customHeight="1" x14ac:dyDescent="0.25">
      <c r="B2" s="98" t="s">
        <v>127</v>
      </c>
      <c r="C2" s="99"/>
      <c r="D2" s="99"/>
      <c r="E2" s="112"/>
      <c r="F2" s="48"/>
      <c r="G2" s="48"/>
      <c r="H2" s="135"/>
      <c r="I2" s="275" t="s">
        <v>110</v>
      </c>
      <c r="J2" s="275"/>
      <c r="K2" s="286"/>
      <c r="L2" s="286"/>
      <c r="M2" s="135"/>
      <c r="N2" s="135"/>
      <c r="O2" s="275" t="s">
        <v>101</v>
      </c>
      <c r="P2" s="275"/>
      <c r="Q2" s="60" t="str">
        <f>'Arbeitsblatt alle'!Q2</f>
        <v>A</v>
      </c>
    </row>
    <row r="3" spans="2:20" ht="6.75" customHeight="1" x14ac:dyDescent="0.25">
      <c r="B3" s="136"/>
      <c r="C3" s="37"/>
      <c r="D3" s="37"/>
      <c r="E3" s="133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134"/>
    </row>
    <row r="4" spans="2:20" ht="18" customHeight="1" x14ac:dyDescent="0.25">
      <c r="B4" s="289" t="s">
        <v>128</v>
      </c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137"/>
      <c r="N4" s="37"/>
      <c r="O4" s="37"/>
      <c r="P4" s="37"/>
      <c r="Q4" s="134"/>
    </row>
    <row r="5" spans="2:20" ht="4.5" customHeight="1" x14ac:dyDescent="0.25">
      <c r="B5" s="136"/>
      <c r="C5" s="37"/>
      <c r="D5" s="37"/>
      <c r="E5" s="133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134"/>
    </row>
    <row r="6" spans="2:20" s="18" customFormat="1" ht="18" customHeight="1" x14ac:dyDescent="0.2">
      <c r="B6" s="276" t="s">
        <v>129</v>
      </c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8"/>
      <c r="O6" s="119"/>
      <c r="P6" s="119"/>
      <c r="Q6" s="138"/>
      <c r="R6" s="108"/>
      <c r="S6" s="108"/>
      <c r="T6" s="35"/>
    </row>
    <row r="7" spans="2:20" s="5" customFormat="1" ht="18.75" customHeight="1" x14ac:dyDescent="0.25">
      <c r="B7" s="282" t="str">
        <f>'Arbeitsblatt alle'!B7:C7</f>
        <v>Aluminium</v>
      </c>
      <c r="C7" s="283"/>
      <c r="D7" s="144"/>
      <c r="E7" s="145">
        <f>'Arbeitsblatt alle'!E7</f>
        <v>2.71</v>
      </c>
      <c r="F7" s="144"/>
      <c r="G7" s="284" t="str">
        <f>'Arbeitsblatt alle'!G7:H7</f>
        <v>Gummi (Kautschuk)</v>
      </c>
      <c r="H7" s="285"/>
      <c r="I7" s="145">
        <f>'Arbeitsblatt alle'!I7</f>
        <v>0.92</v>
      </c>
      <c r="J7" s="144"/>
      <c r="K7" s="284" t="str">
        <f>'Arbeitsblatt alle'!K7:L7</f>
        <v>Quecksilber</v>
      </c>
      <c r="L7" s="285"/>
      <c r="M7" s="146"/>
      <c r="N7" s="147">
        <f>'Arbeitsblatt alle'!N7</f>
        <v>13.595000000000001</v>
      </c>
      <c r="O7" s="120"/>
      <c r="P7" s="117"/>
      <c r="Q7" s="109"/>
      <c r="R7" s="121"/>
      <c r="S7" s="122"/>
      <c r="T7" s="111"/>
    </row>
    <row r="8" spans="2:20" s="5" customFormat="1" ht="18.75" customHeight="1" x14ac:dyDescent="0.25">
      <c r="B8" s="282" t="str">
        <f>'Arbeitsblatt alle'!B8:C8</f>
        <v>Beton</v>
      </c>
      <c r="C8" s="283"/>
      <c r="D8" s="144"/>
      <c r="E8" s="145">
        <f>'Arbeitsblatt alle'!E8</f>
        <v>2.4500000000000002</v>
      </c>
      <c r="F8" s="144"/>
      <c r="G8" s="284" t="str">
        <f>'Arbeitsblatt alle'!G8:H8</f>
        <v>Gusseisen</v>
      </c>
      <c r="H8" s="285"/>
      <c r="I8" s="145">
        <f>'Arbeitsblatt alle'!I8</f>
        <v>7.25</v>
      </c>
      <c r="J8" s="144"/>
      <c r="K8" s="284" t="str">
        <f>'Arbeitsblatt alle'!K8:L8</f>
        <v>Schwefel</v>
      </c>
      <c r="L8" s="285"/>
      <c r="M8" s="146"/>
      <c r="N8" s="147">
        <f>'Arbeitsblatt alle'!N8</f>
        <v>2.0699999999999998</v>
      </c>
      <c r="O8" s="120"/>
      <c r="P8" s="111"/>
      <c r="Q8" s="109"/>
      <c r="R8" s="121"/>
      <c r="S8" s="122"/>
      <c r="T8" s="111"/>
    </row>
    <row r="9" spans="2:20" s="5" customFormat="1" ht="18.75" customHeight="1" x14ac:dyDescent="0.25">
      <c r="B9" s="282" t="str">
        <f>'Arbeitsblatt alle'!B9:C9</f>
        <v>Blei</v>
      </c>
      <c r="C9" s="283"/>
      <c r="D9" s="144"/>
      <c r="E9" s="145">
        <f>'Arbeitsblatt alle'!E9</f>
        <v>11.34</v>
      </c>
      <c r="F9" s="144"/>
      <c r="G9" s="284" t="str">
        <f>'Arbeitsblatt alle'!G9:H9</f>
        <v xml:space="preserve">Kohlenstoff </v>
      </c>
      <c r="H9" s="285"/>
      <c r="I9" s="145">
        <f>'Arbeitsblatt alle'!I9</f>
        <v>2.25</v>
      </c>
      <c r="J9" s="144"/>
      <c r="K9" s="284" t="str">
        <f>'Arbeitsblatt alle'!K9:L9</f>
        <v>Stahl legiert</v>
      </c>
      <c r="L9" s="285"/>
      <c r="M9" s="146"/>
      <c r="N9" s="147">
        <f>'Arbeitsblatt alle'!N9</f>
        <v>7.9</v>
      </c>
      <c r="O9" s="120"/>
      <c r="P9" s="111"/>
      <c r="Q9" s="109"/>
      <c r="R9" s="121"/>
      <c r="S9" s="122"/>
      <c r="T9" s="111"/>
    </row>
    <row r="10" spans="2:20" s="5" customFormat="1" ht="18.75" customHeight="1" x14ac:dyDescent="0.25">
      <c r="B10" s="282" t="str">
        <f>'Arbeitsblatt alle'!B10:C10</f>
        <v>Eichenholz</v>
      </c>
      <c r="C10" s="283"/>
      <c r="D10" s="144"/>
      <c r="E10" s="145">
        <f>'Arbeitsblatt alle'!E10</f>
        <v>0.8</v>
      </c>
      <c r="F10" s="144"/>
      <c r="G10" s="284" t="str">
        <f>'Arbeitsblatt alle'!G10:H10</f>
        <v>Kork</v>
      </c>
      <c r="H10" s="285"/>
      <c r="I10" s="145">
        <f>'Arbeitsblatt alle'!I10</f>
        <v>0.48</v>
      </c>
      <c r="J10" s="144"/>
      <c r="K10" s="284" t="str">
        <f>'Arbeitsblatt alle'!K10:L10</f>
        <v>Stahl unlegiert</v>
      </c>
      <c r="L10" s="285"/>
      <c r="M10" s="146"/>
      <c r="N10" s="147">
        <f>'Arbeitsblatt alle'!N10</f>
        <v>7.85</v>
      </c>
      <c r="O10" s="120"/>
      <c r="P10" s="111"/>
      <c r="Q10" s="109"/>
      <c r="R10" s="121"/>
      <c r="S10" s="122"/>
      <c r="T10" s="111"/>
    </row>
    <row r="11" spans="2:20" s="5" customFormat="1" ht="18.75" customHeight="1" x14ac:dyDescent="0.25">
      <c r="B11" s="282" t="str">
        <f>'Arbeitsblatt alle'!B11:C11</f>
        <v>Eis</v>
      </c>
      <c r="C11" s="283"/>
      <c r="D11" s="144"/>
      <c r="E11" s="145">
        <f>'Arbeitsblatt alle'!E11</f>
        <v>0.91700000000000004</v>
      </c>
      <c r="F11" s="144"/>
      <c r="G11" s="284" t="str">
        <f>'Arbeitsblatt alle'!G11:H11</f>
        <v>Kupfer</v>
      </c>
      <c r="H11" s="285"/>
      <c r="I11" s="145">
        <f>'Arbeitsblatt alle'!I11</f>
        <v>8.9600000000000009</v>
      </c>
      <c r="J11" s="148"/>
      <c r="K11" s="284" t="str">
        <f>'Arbeitsblatt alle'!K11:L11</f>
        <v>Steinkohle</v>
      </c>
      <c r="L11" s="285"/>
      <c r="M11" s="146"/>
      <c r="N11" s="147">
        <f>'Arbeitsblatt alle'!N11</f>
        <v>1.35</v>
      </c>
      <c r="O11" s="120"/>
      <c r="P11" s="111"/>
      <c r="Q11" s="109"/>
      <c r="R11" s="121"/>
      <c r="S11" s="122"/>
      <c r="T11" s="111"/>
    </row>
    <row r="12" spans="2:20" s="5" customFormat="1" ht="18.75" customHeight="1" x14ac:dyDescent="0.25">
      <c r="B12" s="282" t="str">
        <f>'Arbeitsblatt alle'!B12:C12</f>
        <v>Eisen</v>
      </c>
      <c r="C12" s="283"/>
      <c r="D12" s="144"/>
      <c r="E12" s="145">
        <f>'Arbeitsblatt alle'!E12</f>
        <v>7.86</v>
      </c>
      <c r="F12" s="144"/>
      <c r="G12" s="284" t="str">
        <f>'Arbeitsblatt alle'!G12:H12</f>
        <v>Magnesium</v>
      </c>
      <c r="H12" s="285"/>
      <c r="I12" s="145">
        <f>'Arbeitsblatt alle'!I12</f>
        <v>1.738</v>
      </c>
      <c r="J12" s="144"/>
      <c r="K12" s="284" t="str">
        <f>'Arbeitsblatt alle'!K12:L12</f>
        <v>Wasser (bei 0 °C)</v>
      </c>
      <c r="L12" s="285"/>
      <c r="M12" s="146"/>
      <c r="N12" s="147">
        <f>'Arbeitsblatt alle'!N12</f>
        <v>1</v>
      </c>
      <c r="O12" s="120"/>
      <c r="P12" s="111"/>
      <c r="Q12" s="109"/>
      <c r="R12" s="121"/>
      <c r="S12" s="122"/>
      <c r="T12" s="111"/>
    </row>
    <row r="13" spans="2:20" s="5" customFormat="1" ht="18.75" customHeight="1" x14ac:dyDescent="0.25">
      <c r="B13" s="282" t="str">
        <f>'Arbeitsblatt alle'!B13:C13</f>
        <v>Eisenstahl</v>
      </c>
      <c r="C13" s="283"/>
      <c r="D13" s="144"/>
      <c r="E13" s="145">
        <f>'Arbeitsblatt alle'!E13</f>
        <v>7.7</v>
      </c>
      <c r="F13" s="144"/>
      <c r="G13" s="284" t="str">
        <f>'Arbeitsblatt alle'!G13:H13</f>
        <v>Messing</v>
      </c>
      <c r="H13" s="285"/>
      <c r="I13" s="145">
        <f>'Arbeitsblatt alle'!I13</f>
        <v>8.1</v>
      </c>
      <c r="J13" s="148"/>
      <c r="K13" s="284" t="str">
        <f>'Arbeitsblatt alle'!K13:L13</f>
        <v>Zement</v>
      </c>
      <c r="L13" s="285"/>
      <c r="M13" s="146"/>
      <c r="N13" s="147">
        <f>'Arbeitsblatt alle'!N13</f>
        <v>3.1</v>
      </c>
      <c r="O13" s="110"/>
      <c r="P13" s="111"/>
      <c r="Q13" s="109"/>
      <c r="R13" s="110"/>
      <c r="S13" s="110"/>
      <c r="T13" s="111"/>
    </row>
    <row r="14" spans="2:20" s="5" customFormat="1" ht="18.75" customHeight="1" x14ac:dyDescent="0.25">
      <c r="B14" s="282" t="str">
        <f>'Arbeitsblatt alle'!B14:C14</f>
        <v>Fensterglas</v>
      </c>
      <c r="C14" s="283"/>
      <c r="D14" s="144"/>
      <c r="E14" s="145">
        <f>'Arbeitsblatt alle'!E14</f>
        <v>2.5</v>
      </c>
      <c r="F14" s="144"/>
      <c r="G14" s="284" t="str">
        <f>'Arbeitsblatt alle'!G14:H14</f>
        <v>Nickel</v>
      </c>
      <c r="H14" s="285"/>
      <c r="I14" s="145">
        <f>'Arbeitsblatt alle'!I14</f>
        <v>8.91</v>
      </c>
      <c r="J14" s="144"/>
      <c r="K14" s="284" t="str">
        <f>'Arbeitsblatt alle'!K14:L14</f>
        <v>Zink</v>
      </c>
      <c r="L14" s="285"/>
      <c r="M14" s="124"/>
      <c r="N14" s="147">
        <f>'Arbeitsblatt alle'!N14</f>
        <v>7.13</v>
      </c>
      <c r="O14" s="110"/>
      <c r="P14" s="111"/>
      <c r="Q14" s="109"/>
      <c r="R14" s="110"/>
      <c r="S14" s="110"/>
      <c r="T14" s="111"/>
    </row>
    <row r="15" spans="2:20" s="5" customFormat="1" ht="18.75" customHeight="1" x14ac:dyDescent="0.25">
      <c r="B15" s="282" t="str">
        <f>'Arbeitsblatt alle'!B15:C15</f>
        <v>Fichtenholz</v>
      </c>
      <c r="C15" s="283"/>
      <c r="D15" s="144"/>
      <c r="E15" s="145">
        <f>'Arbeitsblatt alle'!E15</f>
        <v>0.5</v>
      </c>
      <c r="F15" s="144"/>
      <c r="G15" s="284" t="str">
        <f>'Arbeitsblatt alle'!G15:H15</f>
        <v>Papier Büroqualität</v>
      </c>
      <c r="H15" s="285"/>
      <c r="I15" s="145">
        <f>'Arbeitsblatt alle'!I15</f>
        <v>0.8</v>
      </c>
      <c r="J15" s="144"/>
      <c r="K15" s="284" t="str">
        <f>'Arbeitsblatt alle'!K15:L15</f>
        <v>Zinn</v>
      </c>
      <c r="L15" s="285"/>
      <c r="M15" s="149"/>
      <c r="N15" s="147">
        <f>'Arbeitsblatt alle'!N15</f>
        <v>7.28</v>
      </c>
      <c r="O15" s="110"/>
      <c r="P15" s="111"/>
      <c r="Q15" s="109"/>
      <c r="R15" s="110"/>
      <c r="S15" s="110"/>
      <c r="T15" s="111"/>
    </row>
    <row r="16" spans="2:20" s="5" customFormat="1" ht="18.75" customHeight="1" x14ac:dyDescent="0.25">
      <c r="B16" s="282" t="str">
        <f>'Arbeitsblatt alle'!B16:C16</f>
        <v>Gips</v>
      </c>
      <c r="C16" s="283"/>
      <c r="D16" s="144"/>
      <c r="E16" s="145">
        <f>'Arbeitsblatt alle'!E16</f>
        <v>2.2999999999999998</v>
      </c>
      <c r="F16" s="144"/>
      <c r="G16" s="284" t="str">
        <f>'Arbeitsblatt alle'!G16:H16</f>
        <v>Plexiglas</v>
      </c>
      <c r="H16" s="285"/>
      <c r="I16" s="145">
        <f>'Arbeitsblatt alle'!I16</f>
        <v>1.19</v>
      </c>
      <c r="J16" s="144"/>
      <c r="K16" s="284"/>
      <c r="L16" s="285"/>
      <c r="M16" s="124"/>
      <c r="N16" s="147"/>
      <c r="O16" s="110"/>
      <c r="P16" s="111"/>
      <c r="Q16" s="109"/>
      <c r="R16" s="110"/>
      <c r="S16" s="111"/>
      <c r="T16" s="111"/>
    </row>
    <row r="17" spans="2:20" s="5" customFormat="1" ht="18.75" customHeight="1" x14ac:dyDescent="0.25">
      <c r="B17" s="287" t="str">
        <f>'Arbeitsblatt alle'!B17:C17</f>
        <v>Granit</v>
      </c>
      <c r="C17" s="288"/>
      <c r="D17" s="152"/>
      <c r="E17" s="153">
        <f>'Arbeitsblatt alle'!E17</f>
        <v>2.8</v>
      </c>
      <c r="F17" s="152"/>
      <c r="G17" s="293" t="str">
        <f>'Arbeitsblatt alle'!G17:H17</f>
        <v>Quarzglas</v>
      </c>
      <c r="H17" s="294"/>
      <c r="I17" s="153">
        <f>'Arbeitsblatt alle'!I17</f>
        <v>2.2000000000000002</v>
      </c>
      <c r="J17" s="152"/>
      <c r="K17" s="293"/>
      <c r="L17" s="294"/>
      <c r="M17" s="155"/>
      <c r="N17" s="160"/>
      <c r="O17" s="110"/>
      <c r="P17" s="111"/>
      <c r="Q17" s="109"/>
      <c r="R17" s="110"/>
      <c r="S17" s="111"/>
      <c r="T17" s="111"/>
    </row>
    <row r="18" spans="2:20" s="5" customFormat="1" ht="6.75" customHeight="1" x14ac:dyDescent="0.25">
      <c r="B18" s="139"/>
      <c r="C18" s="128"/>
      <c r="D18" s="128"/>
      <c r="E18" s="111"/>
      <c r="F18" s="125"/>
      <c r="G18" s="126"/>
      <c r="H18" s="111"/>
      <c r="I18" s="127"/>
      <c r="J18" s="127"/>
      <c r="K18" s="111"/>
      <c r="L18" s="125"/>
      <c r="M18" s="118"/>
      <c r="N18" s="110"/>
      <c r="O18" s="110"/>
      <c r="P18" s="111"/>
      <c r="Q18" s="109"/>
      <c r="R18" s="110"/>
      <c r="S18" s="111"/>
      <c r="T18" s="111"/>
    </row>
    <row r="19" spans="2:20" s="131" customFormat="1" ht="21" customHeight="1" x14ac:dyDescent="0.25">
      <c r="B19" s="161" t="str">
        <f>'Arbeitsblatt alle'!B19</f>
        <v>A.1</v>
      </c>
      <c r="C19" s="281" t="str">
        <f ca="1">wenig_Wert!B1</f>
        <v>Eine Firma bestellt 4159.4 Kilogramm Quarzglas. Wie gross ist das Volumen in m³?</v>
      </c>
      <c r="D19" s="281"/>
      <c r="E19" s="281"/>
      <c r="F19" s="281"/>
      <c r="G19" s="281"/>
      <c r="H19" s="281"/>
      <c r="I19" s="281"/>
      <c r="J19" s="281"/>
      <c r="K19" s="281"/>
      <c r="L19" s="281"/>
      <c r="M19" s="281"/>
      <c r="N19" s="281"/>
      <c r="O19" s="281"/>
      <c r="P19" s="291" t="str">
        <f ca="1">wenig_Wert!C1</f>
        <v>1.890636 m³</v>
      </c>
      <c r="Q19" s="292"/>
      <c r="R19" s="130"/>
      <c r="S19" s="132"/>
      <c r="T19" s="132"/>
    </row>
    <row r="20" spans="2:20" s="131" customFormat="1" ht="21" customHeight="1" x14ac:dyDescent="0.25">
      <c r="B20" s="161" t="str">
        <f>'Arbeitsblatt alle'!B20</f>
        <v>A.2</v>
      </c>
      <c r="C20" s="281" t="str">
        <f ca="1">wenig_Wert!B2</f>
        <v>Eine Firma kauft 5.79326 m³ Gummi (Kautschuk). Wie viele Tonnen sind das?</v>
      </c>
      <c r="D20" s="281"/>
      <c r="E20" s="281"/>
      <c r="F20" s="281"/>
      <c r="G20" s="281"/>
      <c r="H20" s="281"/>
      <c r="I20" s="281"/>
      <c r="J20" s="281"/>
      <c r="K20" s="281"/>
      <c r="L20" s="281"/>
      <c r="M20" s="281"/>
      <c r="N20" s="281"/>
      <c r="O20" s="281"/>
      <c r="P20" s="291" t="str">
        <f ca="1">wenig_Wert!C2</f>
        <v>5.3298 t</v>
      </c>
      <c r="Q20" s="292"/>
      <c r="R20" s="130"/>
      <c r="S20" s="132"/>
      <c r="T20" s="132"/>
    </row>
    <row r="21" spans="2:20" s="131" customFormat="1" ht="21" customHeight="1" x14ac:dyDescent="0.25">
      <c r="B21" s="161" t="str">
        <f>'Arbeitsblatt alle'!B21</f>
        <v>A.3</v>
      </c>
      <c r="C21" s="281" t="str">
        <f ca="1">wenig_Wert!B3</f>
        <v>Ein Händler bestellt 8.3002 Tonnen Plexiglas. Wie gross ist das Volumen in dm³?</v>
      </c>
      <c r="D21" s="281"/>
      <c r="E21" s="281"/>
      <c r="F21" s="281"/>
      <c r="G21" s="281"/>
      <c r="H21" s="281"/>
      <c r="I21" s="281"/>
      <c r="J21" s="281"/>
      <c r="K21" s="281"/>
      <c r="L21" s="281"/>
      <c r="M21" s="281"/>
      <c r="N21" s="281"/>
      <c r="O21" s="281"/>
      <c r="P21" s="291" t="str">
        <f ca="1">wenig_Wert!C3</f>
        <v>6974.957 dm³</v>
      </c>
      <c r="Q21" s="292"/>
      <c r="R21" s="130"/>
      <c r="S21" s="132"/>
      <c r="T21" s="132"/>
    </row>
    <row r="22" spans="2:20" s="131" customFormat="1" ht="21" customHeight="1" x14ac:dyDescent="0.25">
      <c r="B22" s="161" t="str">
        <f>'Arbeitsblatt alle'!B22</f>
        <v>A.4</v>
      </c>
      <c r="C22" s="281" t="str">
        <f ca="1">wenig_Wert!B4</f>
        <v>Eine Firma bestellt 0.7527 m³ Kupfer. Wie viele Tonnen sind das?</v>
      </c>
      <c r="D22" s="281"/>
      <c r="E22" s="281"/>
      <c r="F22" s="281"/>
      <c r="G22" s="281"/>
      <c r="H22" s="281"/>
      <c r="I22" s="281"/>
      <c r="J22" s="281"/>
      <c r="K22" s="281"/>
      <c r="L22" s="281"/>
      <c r="M22" s="281"/>
      <c r="N22" s="281"/>
      <c r="O22" s="281"/>
      <c r="P22" s="291" t="str">
        <f ca="1">wenig_Wert!C4</f>
        <v>6.7442 t</v>
      </c>
      <c r="Q22" s="292"/>
      <c r="R22" s="130"/>
      <c r="S22" s="132"/>
      <c r="T22" s="132"/>
    </row>
    <row r="23" spans="2:20" s="131" customFormat="1" ht="21" customHeight="1" x14ac:dyDescent="0.25">
      <c r="B23" s="161" t="str">
        <f>'Arbeitsblatt alle'!B23</f>
        <v>A.5</v>
      </c>
      <c r="C23" s="281" t="str">
        <f ca="1">wenig_Wert!B5</f>
        <v>Ein Händler kauft 5.5174 Tonnen Gusseisen. Wie gross ist das Volumen in dm³?</v>
      </c>
      <c r="D23" s="281"/>
      <c r="E23" s="281"/>
      <c r="F23" s="281"/>
      <c r="G23" s="281"/>
      <c r="H23" s="281"/>
      <c r="I23" s="281"/>
      <c r="J23" s="281"/>
      <c r="K23" s="281"/>
      <c r="L23" s="281"/>
      <c r="M23" s="281"/>
      <c r="N23" s="281"/>
      <c r="O23" s="281"/>
      <c r="P23" s="291" t="str">
        <f ca="1">wenig_Wert!C5</f>
        <v>761.02 dm³</v>
      </c>
      <c r="Q23" s="292"/>
      <c r="R23" s="130"/>
      <c r="S23" s="132"/>
      <c r="T23" s="132"/>
    </row>
    <row r="24" spans="2:20" s="131" customFormat="1" ht="21" customHeight="1" x14ac:dyDescent="0.25">
      <c r="B24" s="161" t="str">
        <f>'Arbeitsblatt alle'!B24</f>
        <v>A.6</v>
      </c>
      <c r="C24" s="281" t="str">
        <f ca="1">wenig_Wert!B6</f>
        <v>Ein Händler bestellt 80.308 dm³ Quecksilber. Wie viele Kilogramm sind das?</v>
      </c>
      <c r="D24" s="281"/>
      <c r="E24" s="281"/>
      <c r="F24" s="281"/>
      <c r="G24" s="281"/>
      <c r="H24" s="281"/>
      <c r="I24" s="281"/>
      <c r="J24" s="281"/>
      <c r="K24" s="281"/>
      <c r="L24" s="281"/>
      <c r="M24" s="281"/>
      <c r="N24" s="281"/>
      <c r="O24" s="281"/>
      <c r="P24" s="291" t="str">
        <f ca="1">wenig_Wert!C6</f>
        <v>1091.8 kg</v>
      </c>
      <c r="Q24" s="292"/>
      <c r="R24" s="130"/>
      <c r="S24" s="132"/>
      <c r="T24" s="132"/>
    </row>
    <row r="25" spans="2:20" s="131" customFormat="1" ht="21" customHeight="1" x14ac:dyDescent="0.25">
      <c r="B25" s="161" t="str">
        <f>'Arbeitsblatt alle'!B25</f>
        <v>A.7</v>
      </c>
      <c r="C25" s="281" t="str">
        <f ca="1">wenig_Wert!B7</f>
        <v>Eine Firma kauft 888.75 dm³ Kork. Wie viele Kilogramm sind das?</v>
      </c>
      <c r="D25" s="281"/>
      <c r="E25" s="281"/>
      <c r="F25" s="281"/>
      <c r="G25" s="281"/>
      <c r="H25" s="281"/>
      <c r="I25" s="281"/>
      <c r="J25" s="281"/>
      <c r="K25" s="281"/>
      <c r="L25" s="281"/>
      <c r="M25" s="281"/>
      <c r="N25" s="281"/>
      <c r="O25" s="281"/>
      <c r="P25" s="291" t="str">
        <f ca="1">wenig_Wert!C7</f>
        <v>426.6 kg</v>
      </c>
      <c r="Q25" s="292"/>
      <c r="R25" s="132"/>
      <c r="S25" s="132"/>
      <c r="T25" s="132"/>
    </row>
    <row r="26" spans="2:20" s="131" customFormat="1" ht="21" customHeight="1" x14ac:dyDescent="0.25">
      <c r="B26" s="161" t="str">
        <f>'Arbeitsblatt alle'!B26</f>
        <v>A.8</v>
      </c>
      <c r="C26" s="281" t="str">
        <f ca="1">wenig_Wert!B8</f>
        <v>Ein Händler bestellt 1638.4 Kilogramm Beton. Wie gross ist das Volumen in m³?</v>
      </c>
      <c r="D26" s="281"/>
      <c r="E26" s="281"/>
      <c r="F26" s="281"/>
      <c r="G26" s="281"/>
      <c r="H26" s="281"/>
      <c r="I26" s="281"/>
      <c r="J26" s="281"/>
      <c r="K26" s="281"/>
      <c r="L26" s="281"/>
      <c r="M26" s="281"/>
      <c r="N26" s="281"/>
      <c r="O26" s="281"/>
      <c r="P26" s="291" t="str">
        <f ca="1">wenig_Wert!C8</f>
        <v>0.668734 m³</v>
      </c>
      <c r="Q26" s="292"/>
      <c r="R26" s="132"/>
      <c r="S26" s="132"/>
      <c r="T26" s="132"/>
    </row>
    <row r="27" spans="2:20" s="131" customFormat="1" ht="21" customHeight="1" x14ac:dyDescent="0.25">
      <c r="B27" s="161" t="str">
        <f>'Arbeitsblatt alle'!B27</f>
        <v>A.9</v>
      </c>
      <c r="C27" s="281" t="str">
        <f ca="1">wenig_Wert!B9</f>
        <v>Ein Händler kauft 1373.642 dm³ Granit. Wie viele Kilogramm sind das?</v>
      </c>
      <c r="D27" s="281"/>
      <c r="E27" s="281"/>
      <c r="F27" s="281"/>
      <c r="G27" s="281"/>
      <c r="H27" s="281"/>
      <c r="I27" s="281"/>
      <c r="J27" s="281"/>
      <c r="K27" s="281"/>
      <c r="L27" s="281"/>
      <c r="M27" s="281"/>
      <c r="N27" s="281"/>
      <c r="O27" s="281"/>
      <c r="P27" s="291" t="str">
        <f ca="1">wenig_Wert!C9</f>
        <v>3846.2 kg</v>
      </c>
      <c r="Q27" s="292"/>
      <c r="R27" s="132"/>
      <c r="S27" s="132"/>
      <c r="T27" s="132"/>
    </row>
    <row r="28" spans="2:20" s="131" customFormat="1" ht="21" customHeight="1" x14ac:dyDescent="0.25">
      <c r="B28" s="161" t="str">
        <f>'Arbeitsblatt alle'!B28</f>
        <v>A.10</v>
      </c>
      <c r="C28" s="281" t="str">
        <f ca="1">wenig_Wert!B10</f>
        <v>Ein Händler kauft 2294.4 Kilogramm Kohlenstoff . Wie gross ist das Volumen in m³?</v>
      </c>
      <c r="D28" s="281"/>
      <c r="E28" s="281"/>
      <c r="F28" s="281"/>
      <c r="G28" s="281"/>
      <c r="H28" s="281"/>
      <c r="I28" s="281"/>
      <c r="J28" s="281"/>
      <c r="K28" s="281"/>
      <c r="L28" s="281"/>
      <c r="M28" s="281"/>
      <c r="N28" s="281"/>
      <c r="O28" s="281"/>
      <c r="P28" s="291" t="str">
        <f ca="1">wenig_Wert!C10</f>
        <v>1.019733 m³</v>
      </c>
      <c r="Q28" s="292"/>
      <c r="R28" s="132"/>
      <c r="S28" s="132"/>
      <c r="T28" s="132"/>
    </row>
    <row r="29" spans="2:20" s="131" customFormat="1" ht="21" customHeight="1" x14ac:dyDescent="0.25">
      <c r="B29" s="161" t="str">
        <f>'Arbeitsblatt alle'!B29</f>
        <v>A.11</v>
      </c>
      <c r="C29" s="281" t="str">
        <f ca="1">wenig_Wert!B11</f>
        <v>Ein Händler bestellt 1187.884 dm³ Zinn. Wie viele Kilogramm sind das?</v>
      </c>
      <c r="D29" s="281"/>
      <c r="E29" s="281"/>
      <c r="F29" s="281"/>
      <c r="G29" s="281"/>
      <c r="H29" s="281"/>
      <c r="I29" s="281"/>
      <c r="J29" s="281"/>
      <c r="K29" s="281"/>
      <c r="L29" s="281"/>
      <c r="M29" s="281"/>
      <c r="N29" s="281"/>
      <c r="O29" s="281"/>
      <c r="P29" s="291" t="str">
        <f ca="1">wenig_Wert!C11</f>
        <v>8647.8 kg</v>
      </c>
      <c r="Q29" s="292"/>
      <c r="R29" s="132"/>
      <c r="S29" s="132"/>
      <c r="T29" s="132"/>
    </row>
    <row r="30" spans="2:20" s="131" customFormat="1" ht="21" customHeight="1" x14ac:dyDescent="0.25">
      <c r="B30" s="161" t="str">
        <f>'Arbeitsblatt alle'!B30</f>
        <v>A.12</v>
      </c>
      <c r="C30" s="281" t="str">
        <f ca="1">wenig_Wert!B12</f>
        <v>Eine Firma kauft 3.0724 Tonnen Magnesium. Wie gross ist das Volumen in dm³?</v>
      </c>
      <c r="D30" s="281"/>
      <c r="E30" s="281"/>
      <c r="F30" s="281"/>
      <c r="G30" s="281"/>
      <c r="H30" s="281"/>
      <c r="I30" s="281"/>
      <c r="J30" s="281"/>
      <c r="K30" s="281"/>
      <c r="L30" s="281"/>
      <c r="M30" s="281"/>
      <c r="N30" s="281"/>
      <c r="O30" s="281"/>
      <c r="P30" s="291" t="str">
        <f ca="1">wenig_Wert!C12</f>
        <v>1767.779 dm³</v>
      </c>
      <c r="Q30" s="292"/>
      <c r="R30" s="132"/>
      <c r="S30" s="132"/>
      <c r="T30" s="132"/>
    </row>
    <row r="31" spans="2:20" s="131" customFormat="1" ht="21" customHeight="1" x14ac:dyDescent="0.25">
      <c r="B31" s="161" t="str">
        <f>'Arbeitsblatt alle'!B31</f>
        <v>A.13</v>
      </c>
      <c r="C31" s="281" t="str">
        <f ca="1">wenig_Wert!B13</f>
        <v>Eine Firma kauft 1055.584 dm³ Eisenstahl. Wie viele Kilogramm sind das?</v>
      </c>
      <c r="D31" s="281"/>
      <c r="E31" s="281"/>
      <c r="F31" s="281"/>
      <c r="G31" s="281"/>
      <c r="H31" s="281"/>
      <c r="I31" s="281"/>
      <c r="J31" s="281"/>
      <c r="K31" s="281"/>
      <c r="L31" s="281"/>
      <c r="M31" s="281"/>
      <c r="N31" s="281"/>
      <c r="O31" s="281"/>
      <c r="P31" s="291" t="str">
        <f ca="1">wenig_Wert!C13</f>
        <v>8128 kg</v>
      </c>
      <c r="Q31" s="292"/>
      <c r="R31" s="132"/>
      <c r="S31" s="132"/>
      <c r="T31" s="132"/>
    </row>
    <row r="32" spans="2:20" s="131" customFormat="1" ht="21" customHeight="1" x14ac:dyDescent="0.25">
      <c r="B32" s="161" t="str">
        <f>'Arbeitsblatt alle'!B32</f>
        <v>A.14</v>
      </c>
      <c r="C32" s="281" t="str">
        <f ca="1">wenig_Wert!B14</f>
        <v>Eine Firma bestellt 2.307922 m³ Schwefel. Wie viele Tonnen sind das?</v>
      </c>
      <c r="D32" s="281"/>
      <c r="E32" s="281"/>
      <c r="F32" s="281"/>
      <c r="G32" s="281"/>
      <c r="H32" s="281"/>
      <c r="I32" s="281"/>
      <c r="J32" s="281"/>
      <c r="K32" s="281"/>
      <c r="L32" s="281"/>
      <c r="M32" s="281"/>
      <c r="N32" s="281"/>
      <c r="O32" s="281"/>
      <c r="P32" s="291" t="str">
        <f ca="1">wenig_Wert!C14</f>
        <v>4.7774 t</v>
      </c>
      <c r="Q32" s="292"/>
    </row>
    <row r="33" spans="2:17" s="131" customFormat="1" ht="21" customHeight="1" x14ac:dyDescent="0.25">
      <c r="B33" s="161" t="str">
        <f>'Arbeitsblatt alle'!B33</f>
        <v>A.15</v>
      </c>
      <c r="C33" s="281" t="str">
        <f ca="1">wenig_Wert!B15</f>
        <v>Ein Händler bestellt 4803.407 dm³ Steinkohle. Wie viele Kilogramm sind das?</v>
      </c>
      <c r="D33" s="281"/>
      <c r="E33" s="281"/>
      <c r="F33" s="281"/>
      <c r="G33" s="281"/>
      <c r="H33" s="281"/>
      <c r="I33" s="281"/>
      <c r="J33" s="281"/>
      <c r="K33" s="281"/>
      <c r="L33" s="281"/>
      <c r="M33" s="281"/>
      <c r="N33" s="281"/>
      <c r="O33" s="281"/>
      <c r="P33" s="291" t="str">
        <f ca="1">wenig_Wert!C15</f>
        <v>6484.6 kg</v>
      </c>
      <c r="Q33" s="292"/>
    </row>
    <row r="34" spans="2:17" s="131" customFormat="1" ht="21" customHeight="1" x14ac:dyDescent="0.25">
      <c r="B34" s="161" t="str">
        <f>'Arbeitsblatt alle'!B34</f>
        <v>A.16</v>
      </c>
      <c r="C34" s="281" t="str">
        <f ca="1">wenig_Wert!B16</f>
        <v>Ein Händler kauft 3.6564 m³ Wasser (bei 0 °C). Wie viele Tonnen sind das?</v>
      </c>
      <c r="D34" s="281"/>
      <c r="E34" s="281"/>
      <c r="F34" s="281"/>
      <c r="G34" s="281"/>
      <c r="H34" s="281"/>
      <c r="I34" s="281"/>
      <c r="J34" s="281"/>
      <c r="K34" s="281"/>
      <c r="L34" s="281"/>
      <c r="M34" s="281"/>
      <c r="N34" s="281"/>
      <c r="O34" s="281"/>
      <c r="P34" s="291" t="str">
        <f ca="1">wenig_Wert!C16</f>
        <v>3.6564 t</v>
      </c>
      <c r="Q34" s="292"/>
    </row>
    <row r="35" spans="2:17" s="131" customFormat="1" ht="21" customHeight="1" x14ac:dyDescent="0.25">
      <c r="B35" s="161" t="str">
        <f>'Arbeitsblatt alle'!B35</f>
        <v>A.17</v>
      </c>
      <c r="C35" s="281" t="str">
        <f ca="1">wenig_Wert!B17</f>
        <v>Ein Händler kauft 1126.4 Kilogramm Gips. Wie gross ist das Volumen in m³?</v>
      </c>
      <c r="D35" s="281"/>
      <c r="E35" s="281"/>
      <c r="F35" s="281"/>
      <c r="G35" s="281"/>
      <c r="H35" s="281"/>
      <c r="I35" s="281"/>
      <c r="J35" s="281"/>
      <c r="K35" s="281"/>
      <c r="L35" s="281"/>
      <c r="M35" s="281"/>
      <c r="N35" s="281"/>
      <c r="O35" s="281"/>
      <c r="P35" s="291" t="str">
        <f ca="1">wenig_Wert!C17</f>
        <v>0.489739 m³</v>
      </c>
      <c r="Q35" s="292"/>
    </row>
    <row r="36" spans="2:17" s="131" customFormat="1" ht="21" customHeight="1" x14ac:dyDescent="0.25">
      <c r="B36" s="161" t="str">
        <f>'Arbeitsblatt alle'!B36</f>
        <v>A.18</v>
      </c>
      <c r="C36" s="281" t="str">
        <f ca="1">wenig_Wert!B18</f>
        <v>Eine Firma bestellt 1838.8 Kilogramm Eisen. Wie gross ist das Volumen in m³?</v>
      </c>
      <c r="D36" s="281"/>
      <c r="E36" s="281"/>
      <c r="F36" s="281"/>
      <c r="G36" s="281"/>
      <c r="H36" s="281"/>
      <c r="I36" s="281"/>
      <c r="J36" s="281"/>
      <c r="K36" s="281"/>
      <c r="L36" s="281"/>
      <c r="M36" s="281"/>
      <c r="N36" s="281"/>
      <c r="O36" s="281"/>
      <c r="P36" s="291" t="str">
        <f ca="1">wenig_Wert!C18</f>
        <v>0.233944 m³</v>
      </c>
      <c r="Q36" s="292"/>
    </row>
    <row r="37" spans="2:17" ht="22.5" customHeight="1" x14ac:dyDescent="0.25">
      <c r="B37" s="140"/>
      <c r="C37" s="123"/>
      <c r="D37" s="123"/>
      <c r="E37" s="141"/>
      <c r="F37" s="123"/>
      <c r="G37" s="123"/>
      <c r="H37" s="123"/>
      <c r="I37" s="123"/>
      <c r="J37" s="123"/>
      <c r="K37" s="123"/>
      <c r="L37" s="123"/>
      <c r="M37" s="123"/>
      <c r="N37" s="37"/>
      <c r="O37" s="37"/>
      <c r="P37" s="37"/>
      <c r="Q37" s="134"/>
    </row>
    <row r="38" spans="2:17" x14ac:dyDescent="0.25">
      <c r="B38" s="100" t="s">
        <v>105</v>
      </c>
      <c r="C38" s="101"/>
      <c r="D38" s="47"/>
      <c r="E38" s="114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19"/>
    </row>
    <row r="39" spans="2:17" x14ac:dyDescent="0.25">
      <c r="B39" s="102" t="s">
        <v>107</v>
      </c>
      <c r="C39" s="103"/>
      <c r="D39" s="104" t="s">
        <v>106</v>
      </c>
      <c r="E39" s="115"/>
      <c r="F39" s="104"/>
      <c r="G39" s="104"/>
      <c r="H39" s="104"/>
      <c r="I39" s="104"/>
      <c r="J39" s="104"/>
      <c r="K39" s="104"/>
      <c r="L39" s="104"/>
      <c r="M39" s="104"/>
      <c r="N39" s="142"/>
      <c r="O39" s="142"/>
      <c r="P39" s="142"/>
      <c r="Q39" s="31"/>
    </row>
    <row r="40" spans="2:17" x14ac:dyDescent="0.25">
      <c r="B40" s="105" t="s">
        <v>108</v>
      </c>
      <c r="C40" s="106"/>
      <c r="D40" s="107" t="s">
        <v>109</v>
      </c>
      <c r="E40" s="116"/>
      <c r="F40" s="107"/>
      <c r="G40" s="107"/>
      <c r="H40" s="107"/>
      <c r="I40" s="107"/>
      <c r="J40" s="107"/>
      <c r="K40" s="107"/>
      <c r="L40" s="107"/>
      <c r="M40" s="107"/>
      <c r="N40" s="143"/>
      <c r="O40" s="143"/>
      <c r="P40" s="143"/>
      <c r="Q40" s="34"/>
    </row>
  </sheetData>
  <sheetProtection algorithmName="SHA-512" hashValue="/ZAXpAsNY4J+6Gec4pTn1TDQFUdvOrStaNvAPpdsCznPQ/nomWtnGMGcAaPt7EW2MlTUQrNr6TdIjiqgYS2IQg==" saltValue="hrBuJW8vioqT3lP0gbLFVA==" spinCount="100000" sheet="1" objects="1" scenarios="1" selectLockedCells="1" selectUnlockedCells="1"/>
  <mergeCells count="74">
    <mergeCell ref="B7:C7"/>
    <mergeCell ref="G7:H7"/>
    <mergeCell ref="K7:L7"/>
    <mergeCell ref="K16:L16"/>
    <mergeCell ref="K17:L17"/>
    <mergeCell ref="B8:C8"/>
    <mergeCell ref="G8:H8"/>
    <mergeCell ref="K8:L8"/>
    <mergeCell ref="B9:C9"/>
    <mergeCell ref="G9:H9"/>
    <mergeCell ref="K9:L9"/>
    <mergeCell ref="B10:C10"/>
    <mergeCell ref="G10:H10"/>
    <mergeCell ref="K10:L10"/>
    <mergeCell ref="B11:C11"/>
    <mergeCell ref="G11:H11"/>
    <mergeCell ref="I2:J2"/>
    <mergeCell ref="K2:L2"/>
    <mergeCell ref="O2:P2"/>
    <mergeCell ref="B4:L4"/>
    <mergeCell ref="B6:N6"/>
    <mergeCell ref="K11:L11"/>
    <mergeCell ref="B12:C12"/>
    <mergeCell ref="G12:H12"/>
    <mergeCell ref="K12:L12"/>
    <mergeCell ref="B13:C13"/>
    <mergeCell ref="G13:H13"/>
    <mergeCell ref="K13:L13"/>
    <mergeCell ref="P19:Q19"/>
    <mergeCell ref="B14:C14"/>
    <mergeCell ref="G14:H14"/>
    <mergeCell ref="K14:L14"/>
    <mergeCell ref="B15:C15"/>
    <mergeCell ref="G15:H15"/>
    <mergeCell ref="K15:L15"/>
    <mergeCell ref="B16:C16"/>
    <mergeCell ref="G16:H16"/>
    <mergeCell ref="B17:C17"/>
    <mergeCell ref="G17:H17"/>
    <mergeCell ref="C19:O19"/>
    <mergeCell ref="C20:O20"/>
    <mergeCell ref="P20:Q20"/>
    <mergeCell ref="C21:O21"/>
    <mergeCell ref="P21:Q21"/>
    <mergeCell ref="C22:O22"/>
    <mergeCell ref="P22:Q22"/>
    <mergeCell ref="C23:O23"/>
    <mergeCell ref="P23:Q23"/>
    <mergeCell ref="C24:O24"/>
    <mergeCell ref="P24:Q24"/>
    <mergeCell ref="C25:O25"/>
    <mergeCell ref="P25:Q25"/>
    <mergeCell ref="C26:O26"/>
    <mergeCell ref="P26:Q26"/>
    <mergeCell ref="C27:O27"/>
    <mergeCell ref="P27:Q27"/>
    <mergeCell ref="C28:O28"/>
    <mergeCell ref="P28:Q28"/>
    <mergeCell ref="C29:O29"/>
    <mergeCell ref="P29:Q29"/>
    <mergeCell ref="C30:O30"/>
    <mergeCell ref="P30:Q30"/>
    <mergeCell ref="C31:O31"/>
    <mergeCell ref="P31:Q31"/>
    <mergeCell ref="C35:O35"/>
    <mergeCell ref="P35:Q35"/>
    <mergeCell ref="C36:O36"/>
    <mergeCell ref="P36:Q36"/>
    <mergeCell ref="C32:O32"/>
    <mergeCell ref="P32:Q32"/>
    <mergeCell ref="C33:O33"/>
    <mergeCell ref="P33:Q33"/>
    <mergeCell ref="C34:O34"/>
    <mergeCell ref="P34:Q34"/>
  </mergeCells>
  <pageMargins left="0.7" right="0.7" top="0.78740157499999996" bottom="0.78740157499999996" header="0.3" footer="0.3"/>
  <pageSetup paperSize="9" orientation="portrait" r:id="rId1"/>
  <headerFooter>
    <oddFooter>&amp;L&amp;"-,Fett Kursiv"&amp;10Franz Feldmann &amp;"-,Kursiv"&amp;9www.e13.ch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47"/>
  <sheetViews>
    <sheetView showGridLines="0" showRowColHeaders="0" topLeftCell="A8" zoomScaleNormal="100" workbookViewId="0">
      <selection activeCell="U29" sqref="U29"/>
    </sheetView>
  </sheetViews>
  <sheetFormatPr baseColWidth="10" defaultRowHeight="15" x14ac:dyDescent="0.25"/>
  <cols>
    <col min="1" max="2" width="5.140625" style="131" customWidth="1"/>
    <col min="3" max="3" width="5.85546875" style="131" customWidth="1"/>
    <col min="4" max="4" width="2" style="131" customWidth="1"/>
    <col min="5" max="5" width="6.42578125" style="198" customWidth="1"/>
    <col min="6" max="6" width="2.140625" style="131" customWidth="1"/>
    <col min="7" max="7" width="5.140625" style="131" customWidth="1"/>
    <col min="8" max="8" width="12.140625" style="131" customWidth="1"/>
    <col min="9" max="9" width="6.42578125" style="131" customWidth="1"/>
    <col min="10" max="10" width="2.140625" style="131" customWidth="1"/>
    <col min="11" max="11" width="7.140625" style="131" customWidth="1"/>
    <col min="12" max="12" width="7.5703125" style="131" customWidth="1"/>
    <col min="13" max="13" width="2.140625" style="131" customWidth="1"/>
    <col min="14" max="14" width="7.85546875" style="131" customWidth="1"/>
    <col min="15" max="15" width="2.5703125" style="131" customWidth="1"/>
    <col min="16" max="16" width="4.140625" style="131" customWidth="1"/>
    <col min="17" max="17" width="8.42578125" style="131" customWidth="1"/>
    <col min="18" max="18" width="2.140625" style="131" customWidth="1"/>
    <col min="19" max="16384" width="11.42578125" style="131"/>
  </cols>
  <sheetData>
    <row r="2" spans="2:18" ht="22.5" customHeight="1" x14ac:dyDescent="0.25">
      <c r="B2" s="321" t="s">
        <v>141</v>
      </c>
      <c r="C2" s="322"/>
      <c r="D2" s="322"/>
      <c r="E2" s="322"/>
      <c r="F2" s="322"/>
      <c r="G2" s="322"/>
      <c r="H2" s="322"/>
      <c r="I2" s="323" t="s">
        <v>110</v>
      </c>
      <c r="J2" s="323"/>
      <c r="K2" s="286"/>
      <c r="L2" s="286"/>
      <c r="M2" s="199"/>
      <c r="N2" s="199"/>
      <c r="O2" s="323" t="s">
        <v>101</v>
      </c>
      <c r="P2" s="323"/>
      <c r="Q2" s="200" t="s">
        <v>145</v>
      </c>
    </row>
    <row r="3" spans="2:18" ht="22.5" customHeight="1" x14ac:dyDescent="0.25">
      <c r="B3" s="176"/>
      <c r="C3" s="132"/>
      <c r="D3" s="132"/>
      <c r="E3" s="189"/>
      <c r="F3" s="132"/>
      <c r="G3" s="132"/>
      <c r="H3" s="132"/>
      <c r="I3" s="132"/>
      <c r="J3" s="132"/>
      <c r="K3" s="132" t="s">
        <v>142</v>
      </c>
      <c r="L3" s="197" t="s">
        <v>144</v>
      </c>
      <c r="M3" s="132"/>
      <c r="N3" s="132" t="s">
        <v>143</v>
      </c>
      <c r="O3" s="326"/>
      <c r="P3" s="326"/>
      <c r="Q3" s="190"/>
    </row>
    <row r="4" spans="2:18" ht="18" customHeight="1" x14ac:dyDescent="0.25">
      <c r="B4" s="324" t="s">
        <v>128</v>
      </c>
      <c r="C4" s="325"/>
      <c r="D4" s="325"/>
      <c r="E4" s="325"/>
      <c r="F4" s="325"/>
      <c r="G4" s="325"/>
      <c r="H4" s="325"/>
      <c r="I4" s="325"/>
      <c r="J4" s="325"/>
      <c r="K4" s="325"/>
      <c r="L4" s="325"/>
      <c r="M4" s="191"/>
      <c r="N4" s="192"/>
      <c r="O4" s="192"/>
      <c r="P4" s="192"/>
      <c r="Q4" s="193"/>
    </row>
    <row r="5" spans="2:18" ht="4.5" customHeight="1" x14ac:dyDescent="0.25">
      <c r="B5" s="176"/>
      <c r="C5" s="132"/>
      <c r="D5" s="132"/>
      <c r="E5" s="189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90"/>
    </row>
    <row r="6" spans="2:18" ht="25.5" customHeight="1" x14ac:dyDescent="0.25">
      <c r="B6" s="161" t="str">
        <f>CONCATENATE($Q$2,".1a")</f>
        <v>T2.1a</v>
      </c>
      <c r="C6" s="281" t="str">
        <f ca="1">'Arbeitsblatt kostbar'!C17:J17</f>
        <v>Eine Firma bestellt 0.442 cm³ Platin. Wie viel wiegt das?</v>
      </c>
      <c r="D6" s="281"/>
      <c r="E6" s="281"/>
      <c r="F6" s="281"/>
      <c r="G6" s="281"/>
      <c r="H6" s="281"/>
      <c r="I6" s="281"/>
      <c r="J6" s="281"/>
      <c r="K6" s="281"/>
      <c r="L6" s="281"/>
      <c r="M6" s="281"/>
      <c r="N6" s="281"/>
      <c r="O6" s="281"/>
      <c r="P6" s="318"/>
      <c r="Q6" s="319"/>
      <c r="R6" s="172"/>
    </row>
    <row r="7" spans="2:18" ht="25.5" customHeight="1" x14ac:dyDescent="0.25">
      <c r="B7" s="161" t="str">
        <f>CONCATENATE($Q$2,".1b")</f>
        <v>T2.1b</v>
      </c>
      <c r="C7" s="281" t="str">
        <f>'Arbeitsblatt kostbar'!C19:J19</f>
        <v>Wie viel kostet das?</v>
      </c>
      <c r="D7" s="281"/>
      <c r="E7" s="281"/>
      <c r="F7" s="281"/>
      <c r="G7" s="281"/>
      <c r="H7" s="281"/>
      <c r="I7" s="281"/>
      <c r="J7" s="281"/>
      <c r="K7" s="281"/>
      <c r="L7" s="281"/>
      <c r="M7" s="281"/>
      <c r="N7" s="281"/>
      <c r="O7" s="175"/>
      <c r="P7" s="318"/>
      <c r="Q7" s="319"/>
      <c r="R7" s="172"/>
    </row>
    <row r="8" spans="2:18" ht="25.5" customHeight="1" x14ac:dyDescent="0.25">
      <c r="B8" s="161" t="str">
        <f>CONCATENATE($Q$2,".2a")</f>
        <v>T2.2a</v>
      </c>
      <c r="C8" s="281" t="str">
        <f ca="1">'Arbeitsblatt kostbar'!C21:J21</f>
        <v>Eine Firma bestellt 45 Gramm Platin. Wie gross ist das Volumen in dm³?</v>
      </c>
      <c r="D8" s="281"/>
      <c r="E8" s="281"/>
      <c r="F8" s="281"/>
      <c r="G8" s="281"/>
      <c r="H8" s="281"/>
      <c r="I8" s="281"/>
      <c r="J8" s="281"/>
      <c r="K8" s="281"/>
      <c r="L8" s="281"/>
      <c r="M8" s="281"/>
      <c r="N8" s="281"/>
      <c r="O8" s="281"/>
      <c r="P8" s="318"/>
      <c r="Q8" s="319"/>
      <c r="R8" s="172"/>
    </row>
    <row r="9" spans="2:18" ht="25.5" customHeight="1" x14ac:dyDescent="0.25">
      <c r="B9" s="161" t="str">
        <f>CONCATENATE($Q$2,".2b")</f>
        <v>T2.2b</v>
      </c>
      <c r="C9" s="281" t="str">
        <f>'Arbeitsblatt kostbar'!C23:J23</f>
        <v>Wie viel kostet das?</v>
      </c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281"/>
      <c r="O9" s="175"/>
      <c r="P9" s="318"/>
      <c r="Q9" s="319"/>
      <c r="R9" s="172"/>
    </row>
    <row r="10" spans="2:18" ht="25.5" customHeight="1" x14ac:dyDescent="0.25">
      <c r="B10" s="161" t="str">
        <f>CONCATENATE($Q$2,".3a")</f>
        <v>T2.3a</v>
      </c>
      <c r="C10" s="281" t="str">
        <f ca="1">'Arbeitsblatt kostbar'!C25:J25</f>
        <v>Eine Firma bestellt 1.165 cm³ Gold. Wie viel wiegt das?</v>
      </c>
      <c r="D10" s="281"/>
      <c r="E10" s="281"/>
      <c r="F10" s="281"/>
      <c r="G10" s="281"/>
      <c r="H10" s="281"/>
      <c r="I10" s="281"/>
      <c r="J10" s="281"/>
      <c r="K10" s="281"/>
      <c r="L10" s="281"/>
      <c r="M10" s="281"/>
      <c r="N10" s="281"/>
      <c r="O10" s="281"/>
      <c r="P10" s="318"/>
      <c r="Q10" s="319"/>
      <c r="R10" s="172"/>
    </row>
    <row r="11" spans="2:18" ht="25.5" customHeight="1" x14ac:dyDescent="0.25">
      <c r="B11" s="188" t="str">
        <f>CONCATENATE($Q$2,".3b")</f>
        <v>T2.3b</v>
      </c>
      <c r="C11" s="320" t="str">
        <f>'Arbeitsblatt kostbar'!C27:J27</f>
        <v>Wie viel kostet das?</v>
      </c>
      <c r="D11" s="320"/>
      <c r="E11" s="320"/>
      <c r="F11" s="320"/>
      <c r="G11" s="320"/>
      <c r="H11" s="320"/>
      <c r="I11" s="320"/>
      <c r="J11" s="320"/>
      <c r="K11" s="320"/>
      <c r="L11" s="320"/>
      <c r="M11" s="320"/>
      <c r="N11" s="320"/>
      <c r="O11" s="232"/>
      <c r="P11" s="318"/>
      <c r="Q11" s="319"/>
      <c r="R11" s="172"/>
    </row>
    <row r="12" spans="2:18" ht="25.5" customHeight="1" x14ac:dyDescent="0.25">
      <c r="B12" s="161" t="str">
        <f>CONCATENATE($Q$2,".4")</f>
        <v>T2.4</v>
      </c>
      <c r="C12" s="157" t="str">
        <f ca="1">wenig_Wert!B1</f>
        <v>Eine Firma bestellt 4159.4 Kilogramm Quarzglas. Wie gross ist das Volumen in m³?</v>
      </c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318"/>
      <c r="Q12" s="319"/>
      <c r="R12" s="130"/>
    </row>
    <row r="13" spans="2:18" ht="25.5" customHeight="1" x14ac:dyDescent="0.25">
      <c r="B13" s="161" t="str">
        <f>CONCATENATE($Q$2,".5")</f>
        <v>T2.5</v>
      </c>
      <c r="C13" s="157" t="str">
        <f ca="1">wenig_Wert!B2</f>
        <v>Eine Firma kauft 5.79326 m³ Gummi (Kautschuk). Wie viele Tonnen sind das?</v>
      </c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318"/>
      <c r="Q13" s="319"/>
      <c r="R13" s="130"/>
    </row>
    <row r="14" spans="2:18" ht="25.5" customHeight="1" x14ac:dyDescent="0.25">
      <c r="B14" s="161" t="str">
        <f>CONCATENATE($Q$2,".6")</f>
        <v>T2.6</v>
      </c>
      <c r="C14" s="281" t="str">
        <f ca="1">wenig_Wert!B3</f>
        <v>Ein Händler bestellt 8.3002 Tonnen Plexiglas. Wie gross ist das Volumen in dm³?</v>
      </c>
      <c r="D14" s="281"/>
      <c r="E14" s="281"/>
      <c r="F14" s="281"/>
      <c r="G14" s="281"/>
      <c r="H14" s="281"/>
      <c r="I14" s="281"/>
      <c r="J14" s="281"/>
      <c r="K14" s="281"/>
      <c r="L14" s="281"/>
      <c r="M14" s="281"/>
      <c r="N14" s="281"/>
      <c r="O14" s="281"/>
      <c r="P14" s="318"/>
      <c r="Q14" s="319"/>
      <c r="R14" s="130"/>
    </row>
    <row r="15" spans="2:18" ht="25.5" customHeight="1" x14ac:dyDescent="0.25">
      <c r="B15" s="161" t="str">
        <f>CONCATENATE($Q$2,".7")</f>
        <v>T2.7</v>
      </c>
      <c r="C15" s="281" t="str">
        <f ca="1">wenig_Wert!B4</f>
        <v>Eine Firma bestellt 0.7527 m³ Kupfer. Wie viele Tonnen sind das?</v>
      </c>
      <c r="D15" s="281"/>
      <c r="E15" s="281"/>
      <c r="F15" s="281"/>
      <c r="G15" s="281"/>
      <c r="H15" s="281"/>
      <c r="I15" s="281"/>
      <c r="J15" s="281"/>
      <c r="K15" s="281"/>
      <c r="L15" s="281"/>
      <c r="M15" s="281"/>
      <c r="N15" s="281"/>
      <c r="O15" s="281"/>
      <c r="P15" s="318"/>
      <c r="Q15" s="319"/>
      <c r="R15" s="130"/>
    </row>
    <row r="16" spans="2:18" ht="25.5" customHeight="1" x14ac:dyDescent="0.25">
      <c r="B16" s="161" t="str">
        <f>CONCATENATE($Q$2,".8")</f>
        <v>T2.8</v>
      </c>
      <c r="C16" s="281" t="str">
        <f ca="1">wenig_Wert!B5</f>
        <v>Ein Händler kauft 5.5174 Tonnen Gusseisen. Wie gross ist das Volumen in dm³?</v>
      </c>
      <c r="D16" s="281"/>
      <c r="E16" s="281"/>
      <c r="F16" s="281"/>
      <c r="G16" s="281"/>
      <c r="H16" s="281"/>
      <c r="I16" s="281"/>
      <c r="J16" s="281"/>
      <c r="K16" s="281"/>
      <c r="L16" s="281"/>
      <c r="M16" s="281"/>
      <c r="N16" s="281"/>
      <c r="O16" s="281"/>
      <c r="P16" s="318"/>
      <c r="Q16" s="319"/>
      <c r="R16" s="130"/>
    </row>
    <row r="17" spans="2:24" ht="25.5" customHeight="1" x14ac:dyDescent="0.25">
      <c r="B17" s="161" t="str">
        <f>CONCATENATE($Q$2,".9")</f>
        <v>T2.9</v>
      </c>
      <c r="C17" s="281" t="str">
        <f ca="1">wenig_Wert!B6</f>
        <v>Ein Händler bestellt 80.308 dm³ Quecksilber. Wie viele Kilogramm sind das?</v>
      </c>
      <c r="D17" s="281"/>
      <c r="E17" s="281"/>
      <c r="F17" s="281"/>
      <c r="G17" s="281"/>
      <c r="H17" s="281"/>
      <c r="I17" s="281"/>
      <c r="J17" s="281"/>
      <c r="K17" s="281"/>
      <c r="L17" s="281"/>
      <c r="M17" s="281"/>
      <c r="N17" s="281"/>
      <c r="O17" s="281"/>
      <c r="P17" s="318"/>
      <c r="Q17" s="319"/>
      <c r="R17" s="130"/>
    </row>
    <row r="18" spans="2:24" ht="25.5" customHeight="1" x14ac:dyDescent="0.25">
      <c r="B18" s="161" t="str">
        <f>CONCATENATE($Q$2,".10")</f>
        <v>T2.10</v>
      </c>
      <c r="C18" s="281" t="str">
        <f ca="1">wenig_Wert!B7</f>
        <v>Eine Firma kauft 888.75 dm³ Kork. Wie viele Kilogramm sind das?</v>
      </c>
      <c r="D18" s="281"/>
      <c r="E18" s="281"/>
      <c r="F18" s="281"/>
      <c r="G18" s="281"/>
      <c r="H18" s="281"/>
      <c r="I18" s="281"/>
      <c r="J18" s="281"/>
      <c r="K18" s="281"/>
      <c r="L18" s="281"/>
      <c r="M18" s="281"/>
      <c r="N18" s="281"/>
      <c r="O18" s="281"/>
      <c r="P18" s="318"/>
      <c r="Q18" s="319"/>
      <c r="R18" s="130"/>
    </row>
    <row r="19" spans="2:24" ht="25.5" customHeight="1" x14ac:dyDescent="0.25">
      <c r="B19" s="161" t="str">
        <f>CONCATENATE($Q$2,".11")</f>
        <v>T2.11</v>
      </c>
      <c r="C19" s="281" t="str">
        <f ca="1">wenig_Wert!B8</f>
        <v>Ein Händler bestellt 1638.4 Kilogramm Beton. Wie gross ist das Volumen in m³?</v>
      </c>
      <c r="D19" s="281"/>
      <c r="E19" s="281"/>
      <c r="F19" s="281"/>
      <c r="G19" s="281"/>
      <c r="H19" s="281"/>
      <c r="I19" s="281"/>
      <c r="J19" s="281"/>
      <c r="K19" s="281"/>
      <c r="L19" s="281"/>
      <c r="M19" s="281"/>
      <c r="N19" s="281"/>
      <c r="O19" s="281"/>
      <c r="P19" s="318"/>
      <c r="Q19" s="319"/>
      <c r="R19" s="130"/>
      <c r="T19" s="132"/>
      <c r="U19" s="132"/>
      <c r="V19" s="132"/>
      <c r="W19" s="132"/>
      <c r="X19" s="132"/>
    </row>
    <row r="20" spans="2:24" ht="25.5" customHeight="1" x14ac:dyDescent="0.25">
      <c r="B20" s="188" t="str">
        <f>CONCATENATE($Q$2,".12")</f>
        <v>T2.12</v>
      </c>
      <c r="C20" s="320" t="str">
        <f ca="1">wenig_Wert!B9</f>
        <v>Ein Händler kauft 1373.642 dm³ Granit. Wie viele Kilogramm sind das?</v>
      </c>
      <c r="D20" s="320"/>
      <c r="E20" s="320"/>
      <c r="F20" s="320"/>
      <c r="G20" s="320"/>
      <c r="H20" s="320"/>
      <c r="I20" s="320"/>
      <c r="J20" s="320"/>
      <c r="K20" s="320"/>
      <c r="L20" s="320"/>
      <c r="M20" s="320"/>
      <c r="N20" s="320"/>
      <c r="O20" s="320"/>
      <c r="P20" s="318"/>
      <c r="Q20" s="319"/>
      <c r="R20" s="130"/>
      <c r="T20" s="132"/>
      <c r="U20" s="132"/>
      <c r="V20" s="132"/>
      <c r="W20" s="132"/>
      <c r="X20" s="132"/>
    </row>
    <row r="21" spans="2:24" ht="6.75" customHeight="1" x14ac:dyDescent="0.25">
      <c r="E21" s="131"/>
      <c r="R21" s="130"/>
      <c r="V21" s="194"/>
      <c r="W21" s="194"/>
      <c r="X21" s="132"/>
    </row>
    <row r="22" spans="2:24" ht="13.5" customHeight="1" x14ac:dyDescent="0.25">
      <c r="B22" s="315" t="s">
        <v>129</v>
      </c>
      <c r="C22" s="316"/>
      <c r="D22" s="316"/>
      <c r="E22" s="316"/>
      <c r="F22" s="316"/>
      <c r="G22" s="316"/>
      <c r="H22" s="316"/>
      <c r="I22" s="316"/>
      <c r="J22" s="316"/>
      <c r="K22" s="316"/>
      <c r="L22" s="316"/>
      <c r="M22" s="316"/>
      <c r="N22" s="316"/>
      <c r="O22" s="316"/>
      <c r="P22" s="316"/>
      <c r="Q22" s="317"/>
      <c r="R22" s="130"/>
      <c r="S22" s="130"/>
      <c r="V22" s="132"/>
      <c r="W22" s="195"/>
      <c r="X22" s="132"/>
    </row>
    <row r="23" spans="2:24" ht="13.5" customHeight="1" x14ac:dyDescent="0.25">
      <c r="B23" s="310" t="str">
        <f>'Arbeitsblatt alle'!B7</f>
        <v>Aluminium</v>
      </c>
      <c r="C23" s="311"/>
      <c r="D23" s="311"/>
      <c r="E23" s="202">
        <f>'Arbeitsblatt alle'!E7</f>
        <v>2.71</v>
      </c>
      <c r="F23" s="202"/>
      <c r="G23" s="310" t="str">
        <f>'Arbeitsblatt alle'!G7</f>
        <v>Gummi (Kautschuk)</v>
      </c>
      <c r="H23" s="311"/>
      <c r="I23" s="312">
        <f>'Arbeitsblatt alle'!I7</f>
        <v>0.92</v>
      </c>
      <c r="J23" s="312"/>
      <c r="K23" s="202"/>
      <c r="L23" s="310" t="str">
        <f>'Arbeitsblatt alle'!K7</f>
        <v>Quecksilber</v>
      </c>
      <c r="M23" s="311"/>
      <c r="N23" s="311"/>
      <c r="O23" s="311">
        <f>'Arbeitsblatt alle'!N7</f>
        <v>13.595000000000001</v>
      </c>
      <c r="P23" s="311"/>
      <c r="Q23" s="203"/>
      <c r="R23" s="130"/>
      <c r="S23" s="130"/>
      <c r="T23" s="314" t="s">
        <v>140</v>
      </c>
      <c r="U23" s="314"/>
      <c r="V23" s="132"/>
      <c r="W23" s="195"/>
      <c r="X23" s="132"/>
    </row>
    <row r="24" spans="2:24" ht="13.5" customHeight="1" x14ac:dyDescent="0.25">
      <c r="B24" s="310" t="str">
        <f>'Arbeitsblatt alle'!B8</f>
        <v>Beton</v>
      </c>
      <c r="C24" s="311"/>
      <c r="D24" s="311"/>
      <c r="E24" s="202">
        <f>'Arbeitsblatt alle'!E8</f>
        <v>2.4500000000000002</v>
      </c>
      <c r="F24" s="202"/>
      <c r="G24" s="310" t="str">
        <f>'Arbeitsblatt alle'!G8</f>
        <v>Gusseisen</v>
      </c>
      <c r="H24" s="311"/>
      <c r="I24" s="312">
        <f>'Arbeitsblatt alle'!I8</f>
        <v>7.25</v>
      </c>
      <c r="J24" s="312"/>
      <c r="K24" s="202"/>
      <c r="L24" s="310" t="str">
        <f>'Arbeitsblatt alle'!K8</f>
        <v>Schwefel</v>
      </c>
      <c r="M24" s="311"/>
      <c r="N24" s="311"/>
      <c r="O24" s="311">
        <f>'Arbeitsblatt alle'!N8</f>
        <v>2.0699999999999998</v>
      </c>
      <c r="P24" s="311"/>
      <c r="Q24" s="203"/>
      <c r="R24" s="130"/>
      <c r="S24" s="130"/>
      <c r="T24" s="314"/>
      <c r="U24" s="314"/>
      <c r="V24" s="132"/>
      <c r="W24" s="195"/>
      <c r="X24" s="132"/>
    </row>
    <row r="25" spans="2:24" ht="13.5" customHeight="1" x14ac:dyDescent="0.25">
      <c r="B25" s="310" t="str">
        <f>'Arbeitsblatt alle'!B9</f>
        <v>Blei</v>
      </c>
      <c r="C25" s="311"/>
      <c r="D25" s="311"/>
      <c r="E25" s="202">
        <f>'Arbeitsblatt alle'!E9</f>
        <v>11.34</v>
      </c>
      <c r="F25" s="202"/>
      <c r="G25" s="310" t="str">
        <f>'Arbeitsblatt alle'!G9</f>
        <v xml:space="preserve">Kohlenstoff </v>
      </c>
      <c r="H25" s="311"/>
      <c r="I25" s="312">
        <f>'Arbeitsblatt alle'!I9</f>
        <v>2.25</v>
      </c>
      <c r="J25" s="312"/>
      <c r="K25" s="202"/>
      <c r="L25" s="310" t="str">
        <f>'Arbeitsblatt alle'!K9</f>
        <v>Stahl legiert</v>
      </c>
      <c r="M25" s="311"/>
      <c r="N25" s="311"/>
      <c r="O25" s="311">
        <f>'Arbeitsblatt alle'!N9</f>
        <v>7.9</v>
      </c>
      <c r="P25" s="311"/>
      <c r="Q25" s="203"/>
      <c r="R25" s="132"/>
      <c r="S25" s="130"/>
      <c r="T25" s="196"/>
      <c r="U25" s="171"/>
      <c r="V25" s="132"/>
      <c r="W25" s="195"/>
      <c r="X25" s="132"/>
    </row>
    <row r="26" spans="2:24" ht="13.5" customHeight="1" x14ac:dyDescent="0.25">
      <c r="B26" s="310" t="str">
        <f>'Arbeitsblatt alle'!B10</f>
        <v>Eichenholz</v>
      </c>
      <c r="C26" s="311"/>
      <c r="D26" s="311"/>
      <c r="E26" s="202">
        <f>'Arbeitsblatt alle'!E10</f>
        <v>0.8</v>
      </c>
      <c r="F26" s="202"/>
      <c r="G26" s="310" t="str">
        <f>'Arbeitsblatt alle'!G10</f>
        <v>Kork</v>
      </c>
      <c r="H26" s="311"/>
      <c r="I26" s="312">
        <f>'Arbeitsblatt alle'!I10</f>
        <v>0.48</v>
      </c>
      <c r="J26" s="312"/>
      <c r="K26" s="202"/>
      <c r="L26" s="310" t="str">
        <f>'Arbeitsblatt alle'!K10</f>
        <v>Stahl unlegiert</v>
      </c>
      <c r="M26" s="311"/>
      <c r="N26" s="311"/>
      <c r="O26" s="311">
        <f>'Arbeitsblatt alle'!N10</f>
        <v>7.85</v>
      </c>
      <c r="P26" s="311"/>
      <c r="Q26" s="203"/>
      <c r="R26" s="132"/>
      <c r="S26" s="130"/>
      <c r="T26" s="196"/>
      <c r="U26" s="171"/>
      <c r="V26" s="132"/>
      <c r="W26" s="195"/>
      <c r="X26" s="132"/>
    </row>
    <row r="27" spans="2:24" ht="13.5" customHeight="1" x14ac:dyDescent="0.25">
      <c r="B27" s="310" t="str">
        <f>'Arbeitsblatt alle'!B11</f>
        <v>Eis</v>
      </c>
      <c r="C27" s="311"/>
      <c r="D27" s="311"/>
      <c r="E27" s="202">
        <f>'Arbeitsblatt alle'!E11</f>
        <v>0.91700000000000004</v>
      </c>
      <c r="F27" s="204"/>
      <c r="G27" s="310" t="str">
        <f>'Arbeitsblatt alle'!G11</f>
        <v>Kupfer</v>
      </c>
      <c r="H27" s="311"/>
      <c r="I27" s="312">
        <f>'Arbeitsblatt alle'!I11</f>
        <v>8.9600000000000009</v>
      </c>
      <c r="J27" s="312"/>
      <c r="K27" s="204"/>
      <c r="L27" s="310" t="str">
        <f>'Arbeitsblatt alle'!K11</f>
        <v>Steinkohle</v>
      </c>
      <c r="M27" s="311"/>
      <c r="N27" s="311"/>
      <c r="O27" s="311">
        <f>'Arbeitsblatt alle'!N11</f>
        <v>1.35</v>
      </c>
      <c r="P27" s="311"/>
      <c r="Q27" s="205"/>
      <c r="R27" s="132"/>
      <c r="S27" s="130"/>
      <c r="T27" s="196"/>
      <c r="U27" s="171"/>
      <c r="V27" s="132"/>
      <c r="W27" s="195"/>
      <c r="X27" s="132"/>
    </row>
    <row r="28" spans="2:24" ht="13.5" customHeight="1" x14ac:dyDescent="0.25">
      <c r="B28" s="310" t="str">
        <f>'Arbeitsblatt alle'!B12</f>
        <v>Eisen</v>
      </c>
      <c r="C28" s="311"/>
      <c r="D28" s="311"/>
      <c r="E28" s="202">
        <f>'Arbeitsblatt alle'!E12</f>
        <v>7.86</v>
      </c>
      <c r="F28" s="206"/>
      <c r="G28" s="310" t="str">
        <f>'Arbeitsblatt alle'!G12</f>
        <v>Magnesium</v>
      </c>
      <c r="H28" s="311"/>
      <c r="I28" s="312">
        <f>'Arbeitsblatt alle'!I12</f>
        <v>1.738</v>
      </c>
      <c r="J28" s="312"/>
      <c r="K28" s="206"/>
      <c r="L28" s="310" t="str">
        <f>'Arbeitsblatt alle'!K12</f>
        <v>Wasser (bei 0 °C)</v>
      </c>
      <c r="M28" s="311"/>
      <c r="N28" s="311"/>
      <c r="O28" s="311">
        <f>'Arbeitsblatt alle'!N12</f>
        <v>1</v>
      </c>
      <c r="P28" s="311"/>
      <c r="Q28" s="207"/>
      <c r="R28" s="132"/>
      <c r="S28" s="130"/>
      <c r="T28" s="196"/>
      <c r="U28" s="171"/>
      <c r="V28" s="132"/>
      <c r="W28" s="195"/>
      <c r="X28" s="132"/>
    </row>
    <row r="29" spans="2:24" ht="13.5" customHeight="1" x14ac:dyDescent="0.25">
      <c r="B29" s="310" t="str">
        <f>'Arbeitsblatt alle'!B13</f>
        <v>Eisenstahl</v>
      </c>
      <c r="C29" s="311"/>
      <c r="D29" s="311"/>
      <c r="E29" s="202">
        <f>'Arbeitsblatt alle'!E13</f>
        <v>7.7</v>
      </c>
      <c r="F29" s="206"/>
      <c r="G29" s="310" t="str">
        <f>'Arbeitsblatt alle'!G13</f>
        <v>Messing</v>
      </c>
      <c r="H29" s="311"/>
      <c r="I29" s="312">
        <f>'Arbeitsblatt alle'!I13</f>
        <v>8.1</v>
      </c>
      <c r="J29" s="312"/>
      <c r="K29" s="206"/>
      <c r="L29" s="310" t="str">
        <f>'Arbeitsblatt alle'!K13</f>
        <v>Zement</v>
      </c>
      <c r="M29" s="311"/>
      <c r="N29" s="311"/>
      <c r="O29" s="311">
        <f>'Arbeitsblatt alle'!N13</f>
        <v>3.1</v>
      </c>
      <c r="P29" s="311"/>
      <c r="Q29" s="207"/>
      <c r="R29" s="132"/>
      <c r="S29" s="130"/>
      <c r="T29" s="196"/>
      <c r="U29" s="171"/>
      <c r="V29" s="132"/>
      <c r="W29" s="195"/>
      <c r="X29" s="132"/>
    </row>
    <row r="30" spans="2:24" ht="13.5" customHeight="1" x14ac:dyDescent="0.25">
      <c r="B30" s="310" t="str">
        <f>'Arbeitsblatt alle'!B14</f>
        <v>Fensterglas</v>
      </c>
      <c r="C30" s="311"/>
      <c r="D30" s="311"/>
      <c r="E30" s="202">
        <f>'Arbeitsblatt alle'!E14</f>
        <v>2.5</v>
      </c>
      <c r="F30" s="206"/>
      <c r="G30" s="310" t="str">
        <f>'Arbeitsblatt alle'!G14</f>
        <v>Nickel</v>
      </c>
      <c r="H30" s="311"/>
      <c r="I30" s="312">
        <f>'Arbeitsblatt alle'!I14</f>
        <v>8.91</v>
      </c>
      <c r="J30" s="312"/>
      <c r="K30" s="206"/>
      <c r="L30" s="310" t="str">
        <f>'Arbeitsblatt alle'!K14</f>
        <v>Zink</v>
      </c>
      <c r="M30" s="311"/>
      <c r="N30" s="311"/>
      <c r="O30" s="311">
        <f>'Arbeitsblatt alle'!N14</f>
        <v>7.13</v>
      </c>
      <c r="P30" s="311"/>
      <c r="Q30" s="207"/>
      <c r="R30" s="132"/>
      <c r="S30" s="130"/>
      <c r="T30" s="196"/>
      <c r="U30" s="171"/>
      <c r="V30" s="132"/>
      <c r="W30" s="195"/>
      <c r="X30" s="132"/>
    </row>
    <row r="31" spans="2:24" ht="13.5" customHeight="1" x14ac:dyDescent="0.25">
      <c r="B31" s="310" t="str">
        <f>'Arbeitsblatt alle'!B15</f>
        <v>Fichtenholz</v>
      </c>
      <c r="C31" s="311"/>
      <c r="D31" s="311"/>
      <c r="E31" s="202">
        <f>'Arbeitsblatt alle'!E15</f>
        <v>0.5</v>
      </c>
      <c r="F31" s="206"/>
      <c r="G31" s="310" t="str">
        <f>'Arbeitsblatt alle'!G15</f>
        <v>Papier Büroqualität</v>
      </c>
      <c r="H31" s="311"/>
      <c r="I31" s="312">
        <f>'Arbeitsblatt alle'!I15</f>
        <v>0.8</v>
      </c>
      <c r="J31" s="312"/>
      <c r="K31" s="206"/>
      <c r="L31" s="310" t="str">
        <f>'Arbeitsblatt alle'!K15</f>
        <v>Zinn</v>
      </c>
      <c r="M31" s="311"/>
      <c r="N31" s="311"/>
      <c r="O31" s="311">
        <f>'Arbeitsblatt alle'!N15</f>
        <v>7.28</v>
      </c>
      <c r="P31" s="311"/>
      <c r="Q31" s="207"/>
      <c r="R31" s="132"/>
      <c r="S31" s="130"/>
      <c r="T31" s="196"/>
      <c r="U31" s="171"/>
      <c r="V31" s="132"/>
      <c r="W31" s="195"/>
      <c r="X31" s="132"/>
    </row>
    <row r="32" spans="2:24" ht="13.5" customHeight="1" x14ac:dyDescent="0.25">
      <c r="B32" s="310" t="str">
        <f>'Arbeitsblatt alle'!B16</f>
        <v>Gips</v>
      </c>
      <c r="C32" s="311"/>
      <c r="D32" s="311"/>
      <c r="E32" s="202">
        <f>'Arbeitsblatt alle'!E16</f>
        <v>2.2999999999999998</v>
      </c>
      <c r="F32" s="206"/>
      <c r="G32" s="310" t="str">
        <f>'Arbeitsblatt alle'!G16</f>
        <v>Plexiglas</v>
      </c>
      <c r="H32" s="311"/>
      <c r="I32" s="312">
        <f>'Arbeitsblatt alle'!I16</f>
        <v>1.19</v>
      </c>
      <c r="J32" s="312"/>
      <c r="K32" s="206"/>
      <c r="L32" s="310" t="str">
        <f>'Arbeitsblatt kostbar'!B14</f>
        <v>Uran</v>
      </c>
      <c r="M32" s="311"/>
      <c r="N32" s="311"/>
      <c r="O32" s="311">
        <f>'Arbeitsblatt kostbar'!I15</f>
        <v>19.05</v>
      </c>
      <c r="P32" s="311"/>
      <c r="Q32" s="207"/>
      <c r="R32" s="132"/>
      <c r="S32" s="130"/>
      <c r="T32" s="196"/>
      <c r="U32" s="171"/>
      <c r="V32" s="132"/>
      <c r="W32" s="195"/>
      <c r="X32" s="132"/>
    </row>
    <row r="33" spans="2:24" ht="13.5" customHeight="1" x14ac:dyDescent="0.25">
      <c r="B33" s="310" t="str">
        <f>'Arbeitsblatt alle'!B17</f>
        <v>Granit</v>
      </c>
      <c r="C33" s="311"/>
      <c r="D33" s="311"/>
      <c r="E33" s="202">
        <f>'Arbeitsblatt alle'!E17</f>
        <v>2.8</v>
      </c>
      <c r="F33" s="206"/>
      <c r="G33" s="310" t="str">
        <f>'Arbeitsblatt alle'!G17</f>
        <v>Quarzglas</v>
      </c>
      <c r="H33" s="311"/>
      <c r="I33" s="312">
        <f>'Arbeitsblatt alle'!I17</f>
        <v>2.2000000000000002</v>
      </c>
      <c r="J33" s="312"/>
      <c r="K33" s="206"/>
      <c r="L33" s="310" t="str">
        <f>'Arbeitsblatt kostbar'!B15</f>
        <v>Titan</v>
      </c>
      <c r="M33" s="311"/>
      <c r="N33" s="311"/>
      <c r="O33" s="311">
        <f>'Arbeitsblatt kostbar'!I14</f>
        <v>4.5</v>
      </c>
      <c r="P33" s="311"/>
      <c r="Q33" s="207"/>
      <c r="R33" s="132"/>
      <c r="S33" s="130"/>
      <c r="T33" s="196"/>
      <c r="U33" s="171"/>
      <c r="V33" s="132"/>
      <c r="W33" s="195"/>
      <c r="X33" s="132"/>
    </row>
    <row r="34" spans="2:24" ht="13.5" customHeight="1" x14ac:dyDescent="0.25">
      <c r="B34" s="310" t="str">
        <f>'Arbeitsblatt kostbar'!B10</f>
        <v>Diamant</v>
      </c>
      <c r="C34" s="311"/>
      <c r="D34" s="311"/>
      <c r="E34" s="202">
        <f>'Arbeitsblatt kostbar'!I10</f>
        <v>3.51</v>
      </c>
      <c r="F34" s="206"/>
      <c r="G34" s="310" t="str">
        <f>'Arbeitsblatt kostbar'!B12</f>
        <v>Gold</v>
      </c>
      <c r="H34" s="311"/>
      <c r="I34" s="312">
        <f>'Arbeitsblatt kostbar'!I11</f>
        <v>19.302</v>
      </c>
      <c r="J34" s="312"/>
      <c r="K34" s="206"/>
      <c r="L34" s="310"/>
      <c r="M34" s="311"/>
      <c r="N34" s="311"/>
      <c r="O34" s="311"/>
      <c r="P34" s="311"/>
      <c r="Q34" s="207"/>
      <c r="R34" s="132"/>
      <c r="S34" s="130"/>
      <c r="T34" s="196"/>
      <c r="U34" s="171"/>
      <c r="V34" s="132"/>
      <c r="W34" s="195"/>
      <c r="X34" s="132"/>
    </row>
    <row r="35" spans="2:24" ht="13.5" customHeight="1" x14ac:dyDescent="0.25">
      <c r="B35" s="295" t="str">
        <f>'Arbeitsblatt kostbar'!B11</f>
        <v>Silber</v>
      </c>
      <c r="C35" s="296"/>
      <c r="D35" s="296"/>
      <c r="E35" s="208">
        <f>'Arbeitsblatt kostbar'!I13</f>
        <v>10.49</v>
      </c>
      <c r="F35" s="209"/>
      <c r="G35" s="295" t="str">
        <f>'Arbeitsblatt kostbar'!B13</f>
        <v>Platin</v>
      </c>
      <c r="H35" s="296"/>
      <c r="I35" s="313">
        <f>'Arbeitsblatt kostbar'!I12</f>
        <v>21.45</v>
      </c>
      <c r="J35" s="313"/>
      <c r="K35" s="209"/>
      <c r="L35" s="295"/>
      <c r="M35" s="296"/>
      <c r="N35" s="296"/>
      <c r="O35" s="296"/>
      <c r="P35" s="296"/>
      <c r="Q35" s="210"/>
      <c r="R35" s="132"/>
      <c r="S35" s="130"/>
      <c r="T35" s="196"/>
      <c r="U35" s="171"/>
      <c r="V35" s="132"/>
      <c r="W35" s="195"/>
      <c r="X35" s="132"/>
    </row>
    <row r="36" spans="2:24" ht="6.75" customHeight="1" x14ac:dyDescent="0.25">
      <c r="B36" s="306"/>
      <c r="C36" s="306"/>
      <c r="D36" s="306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2"/>
      <c r="Q36" s="213"/>
      <c r="R36" s="132"/>
      <c r="S36" s="130"/>
      <c r="T36" s="196"/>
      <c r="U36" s="171"/>
      <c r="V36" s="132"/>
      <c r="W36" s="195"/>
      <c r="X36" s="132"/>
    </row>
    <row r="37" spans="2:24" ht="13.5" customHeight="1" x14ac:dyDescent="0.25">
      <c r="B37" s="307" t="s">
        <v>86</v>
      </c>
      <c r="C37" s="308"/>
      <c r="D37" s="308"/>
      <c r="E37" s="308"/>
      <c r="F37" s="308"/>
      <c r="G37" s="308"/>
      <c r="H37" s="308"/>
      <c r="I37" s="308"/>
      <c r="J37" s="309"/>
      <c r="K37" s="211"/>
      <c r="L37" s="301" t="s">
        <v>105</v>
      </c>
      <c r="M37" s="302"/>
      <c r="N37" s="302"/>
      <c r="O37" s="302"/>
      <c r="P37" s="302"/>
      <c r="Q37" s="303"/>
      <c r="R37" s="132"/>
      <c r="S37" s="130"/>
      <c r="T37" s="196"/>
      <c r="U37" s="171"/>
      <c r="V37" s="132"/>
      <c r="W37" s="195"/>
      <c r="X37" s="132"/>
    </row>
    <row r="38" spans="2:24" ht="13.5" customHeight="1" x14ac:dyDescent="0.25">
      <c r="B38" s="214" t="s">
        <v>33</v>
      </c>
      <c r="C38" s="215"/>
      <c r="D38" s="304">
        <f>'Arbeitsblatt kostbar'!M10</f>
        <v>20000</v>
      </c>
      <c r="E38" s="304"/>
      <c r="F38" s="304"/>
      <c r="G38" s="304"/>
      <c r="H38" s="216" t="s">
        <v>111</v>
      </c>
      <c r="I38" s="217"/>
      <c r="J38" s="218"/>
      <c r="K38" s="211"/>
      <c r="L38" s="219" t="s">
        <v>107</v>
      </c>
      <c r="M38" s="297" t="s">
        <v>106</v>
      </c>
      <c r="N38" s="297"/>
      <c r="O38" s="297"/>
      <c r="P38" s="297"/>
      <c r="Q38" s="298"/>
      <c r="R38" s="132"/>
      <c r="S38" s="130"/>
      <c r="T38" s="196"/>
      <c r="U38" s="171"/>
      <c r="V38" s="132"/>
      <c r="W38" s="195"/>
      <c r="X38" s="132"/>
    </row>
    <row r="39" spans="2:24" ht="13.5" customHeight="1" x14ac:dyDescent="0.25">
      <c r="B39" s="214" t="s">
        <v>26</v>
      </c>
      <c r="C39" s="215"/>
      <c r="D39" s="304">
        <f>'Arbeitsblatt kostbar'!M11</f>
        <v>0.57999999999999996</v>
      </c>
      <c r="E39" s="304"/>
      <c r="F39" s="304"/>
      <c r="G39" s="304"/>
      <c r="H39" s="216" t="s">
        <v>80</v>
      </c>
      <c r="I39" s="217"/>
      <c r="J39" s="218"/>
      <c r="K39" s="211"/>
      <c r="L39" s="220"/>
      <c r="M39" s="297"/>
      <c r="N39" s="297"/>
      <c r="O39" s="297"/>
      <c r="P39" s="297"/>
      <c r="Q39" s="298"/>
      <c r="R39" s="132"/>
      <c r="S39" s="130"/>
      <c r="T39" s="196"/>
      <c r="U39" s="171"/>
      <c r="V39" s="132"/>
      <c r="W39" s="195"/>
      <c r="X39" s="132"/>
    </row>
    <row r="40" spans="2:24" ht="13.5" customHeight="1" x14ac:dyDescent="0.25">
      <c r="B40" s="214" t="s">
        <v>29</v>
      </c>
      <c r="C40" s="215"/>
      <c r="D40" s="304">
        <f>'Arbeitsblatt kostbar'!M12</f>
        <v>39.630000000000003</v>
      </c>
      <c r="E40" s="304"/>
      <c r="F40" s="304"/>
      <c r="G40" s="304"/>
      <c r="H40" s="216" t="s">
        <v>80</v>
      </c>
      <c r="I40" s="217"/>
      <c r="J40" s="218"/>
      <c r="K40" s="221"/>
      <c r="L40" s="222"/>
      <c r="M40" s="297"/>
      <c r="N40" s="297"/>
      <c r="O40" s="297"/>
      <c r="P40" s="297"/>
      <c r="Q40" s="298"/>
      <c r="R40" s="132"/>
      <c r="S40" s="130"/>
      <c r="T40" s="130"/>
      <c r="U40" s="130"/>
      <c r="V40" s="132"/>
      <c r="W40" s="132"/>
      <c r="X40" s="132"/>
    </row>
    <row r="41" spans="2:24" ht="13.5" customHeight="1" x14ac:dyDescent="0.25">
      <c r="B41" s="214" t="s">
        <v>30</v>
      </c>
      <c r="C41" s="215"/>
      <c r="D41" s="304">
        <f>'Arbeitsblatt kostbar'!M13</f>
        <v>1010.43</v>
      </c>
      <c r="E41" s="304"/>
      <c r="F41" s="304"/>
      <c r="G41" s="304"/>
      <c r="H41" s="216" t="s">
        <v>81</v>
      </c>
      <c r="I41" s="217"/>
      <c r="J41" s="218"/>
      <c r="K41" s="221"/>
      <c r="L41" s="219" t="s">
        <v>108</v>
      </c>
      <c r="M41" s="297" t="s">
        <v>109</v>
      </c>
      <c r="N41" s="297"/>
      <c r="O41" s="297"/>
      <c r="P41" s="297"/>
      <c r="Q41" s="298"/>
      <c r="R41" s="132"/>
      <c r="S41" s="130"/>
      <c r="T41" s="163"/>
    </row>
    <row r="42" spans="2:24" ht="13.5" customHeight="1" x14ac:dyDescent="0.25">
      <c r="B42" s="214" t="s">
        <v>28</v>
      </c>
      <c r="C42" s="215"/>
      <c r="D42" s="304">
        <f>'Arbeitsblatt kostbar'!M14</f>
        <v>26.81</v>
      </c>
      <c r="E42" s="304"/>
      <c r="F42" s="304"/>
      <c r="G42" s="304"/>
      <c r="H42" s="216" t="s">
        <v>82</v>
      </c>
      <c r="I42" s="217"/>
      <c r="J42" s="218"/>
      <c r="K42" s="221"/>
      <c r="L42" s="222"/>
      <c r="M42" s="297"/>
      <c r="N42" s="297"/>
      <c r="O42" s="297"/>
      <c r="P42" s="297"/>
      <c r="Q42" s="298"/>
      <c r="R42" s="132"/>
      <c r="S42" s="130"/>
      <c r="T42" s="163"/>
    </row>
    <row r="43" spans="2:24" ht="13.5" customHeight="1" x14ac:dyDescent="0.25">
      <c r="B43" s="223" t="s">
        <v>15</v>
      </c>
      <c r="C43" s="224"/>
      <c r="D43" s="305">
        <f>'Arbeitsblatt kostbar'!M15</f>
        <v>24.83</v>
      </c>
      <c r="E43" s="305"/>
      <c r="F43" s="305"/>
      <c r="G43" s="305"/>
      <c r="H43" s="225" t="s">
        <v>83</v>
      </c>
      <c r="I43" s="226"/>
      <c r="J43" s="227"/>
      <c r="K43" s="221"/>
      <c r="L43" s="228"/>
      <c r="M43" s="299"/>
      <c r="N43" s="299"/>
      <c r="O43" s="299"/>
      <c r="P43" s="299"/>
      <c r="Q43" s="300"/>
      <c r="R43" s="132"/>
      <c r="S43" s="130"/>
      <c r="T43" s="163"/>
    </row>
    <row r="44" spans="2:24" ht="9.75" customHeight="1" x14ac:dyDescent="0.25">
      <c r="B44" s="229"/>
      <c r="C44" s="229"/>
      <c r="D44" s="229"/>
      <c r="E44" s="230"/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29"/>
      <c r="Q44" s="229"/>
      <c r="S44" s="130"/>
      <c r="T44" s="163"/>
    </row>
    <row r="45" spans="2:24" x14ac:dyDescent="0.25">
      <c r="B45" s="132"/>
      <c r="C45" s="132"/>
      <c r="D45" s="132"/>
      <c r="E45" s="189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S45" s="130"/>
      <c r="T45" s="163"/>
    </row>
    <row r="46" spans="2:24" x14ac:dyDescent="0.25">
      <c r="B46" s="132"/>
      <c r="C46" s="132"/>
      <c r="D46" s="132"/>
      <c r="E46" s="189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</row>
    <row r="47" spans="2:24" x14ac:dyDescent="0.25">
      <c r="B47" s="132"/>
      <c r="C47" s="132"/>
      <c r="D47" s="132"/>
      <c r="E47" s="189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</row>
  </sheetData>
  <sheetProtection algorithmName="SHA-512" hashValue="66GrWPk2WYsqKQDfY58SN9ugc9UYlo65yBixdkMoX/cyBlrakcPxD2bmROOirywvrzFL0NeYUCRaZl4t6vV7Rg==" saltValue="qTc6qrIDMuUGoPXdP4h0Vw==" spinCount="100000" sheet="1" objects="1" scenarios="1" selectLockedCells="1"/>
  <mergeCells count="112">
    <mergeCell ref="C6:O6"/>
    <mergeCell ref="P6:Q6"/>
    <mergeCell ref="C7:N7"/>
    <mergeCell ref="P7:Q7"/>
    <mergeCell ref="C8:O8"/>
    <mergeCell ref="P8:Q8"/>
    <mergeCell ref="B2:H2"/>
    <mergeCell ref="I2:J2"/>
    <mergeCell ref="K2:L2"/>
    <mergeCell ref="O2:P2"/>
    <mergeCell ref="B4:L4"/>
    <mergeCell ref="O3:P3"/>
    <mergeCell ref="C14:O14"/>
    <mergeCell ref="P14:Q14"/>
    <mergeCell ref="C15:O15"/>
    <mergeCell ref="P15:Q15"/>
    <mergeCell ref="C16:O16"/>
    <mergeCell ref="P16:Q16"/>
    <mergeCell ref="C9:N9"/>
    <mergeCell ref="P9:Q9"/>
    <mergeCell ref="C10:O10"/>
    <mergeCell ref="P10:Q10"/>
    <mergeCell ref="C11:N11"/>
    <mergeCell ref="P11:Q11"/>
    <mergeCell ref="P12:Q12"/>
    <mergeCell ref="P13:Q13"/>
    <mergeCell ref="T23:U24"/>
    <mergeCell ref="B23:D23"/>
    <mergeCell ref="G23:H23"/>
    <mergeCell ref="I23:J23"/>
    <mergeCell ref="L23:N23"/>
    <mergeCell ref="O23:P23"/>
    <mergeCell ref="B22:Q22"/>
    <mergeCell ref="C17:O17"/>
    <mergeCell ref="P17:Q17"/>
    <mergeCell ref="C18:O18"/>
    <mergeCell ref="P18:Q18"/>
    <mergeCell ref="C19:O19"/>
    <mergeCell ref="P19:Q19"/>
    <mergeCell ref="B24:D24"/>
    <mergeCell ref="G24:H24"/>
    <mergeCell ref="I24:J24"/>
    <mergeCell ref="L24:N24"/>
    <mergeCell ref="O24:P24"/>
    <mergeCell ref="C20:O20"/>
    <mergeCell ref="P20:Q20"/>
    <mergeCell ref="B25:D25"/>
    <mergeCell ref="G25:H25"/>
    <mergeCell ref="I25:J25"/>
    <mergeCell ref="L25:N25"/>
    <mergeCell ref="O25:P25"/>
    <mergeCell ref="B26:D26"/>
    <mergeCell ref="G26:H26"/>
    <mergeCell ref="I26:J26"/>
    <mergeCell ref="L26:N26"/>
    <mergeCell ref="O26:P26"/>
    <mergeCell ref="B27:D27"/>
    <mergeCell ref="G27:H27"/>
    <mergeCell ref="I27:J27"/>
    <mergeCell ref="L27:N27"/>
    <mergeCell ref="O27:P27"/>
    <mergeCell ref="B28:D28"/>
    <mergeCell ref="G28:H28"/>
    <mergeCell ref="I28:J28"/>
    <mergeCell ref="L28:N28"/>
    <mergeCell ref="O28:P28"/>
    <mergeCell ref="B29:D29"/>
    <mergeCell ref="G29:H29"/>
    <mergeCell ref="I29:J29"/>
    <mergeCell ref="L29:N29"/>
    <mergeCell ref="O29:P29"/>
    <mergeCell ref="B30:D30"/>
    <mergeCell ref="G30:H30"/>
    <mergeCell ref="I30:J30"/>
    <mergeCell ref="L30:N30"/>
    <mergeCell ref="O30:P30"/>
    <mergeCell ref="B31:D31"/>
    <mergeCell ref="G31:H31"/>
    <mergeCell ref="I31:J31"/>
    <mergeCell ref="L31:N31"/>
    <mergeCell ref="O31:P31"/>
    <mergeCell ref="O35:P35"/>
    <mergeCell ref="B32:D32"/>
    <mergeCell ref="G32:H32"/>
    <mergeCell ref="I32:J32"/>
    <mergeCell ref="L32:N32"/>
    <mergeCell ref="O32:P32"/>
    <mergeCell ref="B33:D33"/>
    <mergeCell ref="G33:H33"/>
    <mergeCell ref="I33:J33"/>
    <mergeCell ref="L33:N33"/>
    <mergeCell ref="O33:P33"/>
    <mergeCell ref="B34:D34"/>
    <mergeCell ref="G34:H34"/>
    <mergeCell ref="I34:J34"/>
    <mergeCell ref="L34:N34"/>
    <mergeCell ref="O34:P34"/>
    <mergeCell ref="B35:D35"/>
    <mergeCell ref="G35:H35"/>
    <mergeCell ref="I35:J35"/>
    <mergeCell ref="L35:N35"/>
    <mergeCell ref="M38:Q40"/>
    <mergeCell ref="M41:Q43"/>
    <mergeCell ref="L37:Q37"/>
    <mergeCell ref="D41:G41"/>
    <mergeCell ref="D42:G42"/>
    <mergeCell ref="D43:G43"/>
    <mergeCell ref="B36:D36"/>
    <mergeCell ref="B37:J37"/>
    <mergeCell ref="D38:G38"/>
    <mergeCell ref="D39:G39"/>
    <mergeCell ref="D40:G40"/>
  </mergeCells>
  <pageMargins left="0.7" right="0.7" top="0.78740157499999996" bottom="0.78740157499999996" header="0.3" footer="0.3"/>
  <pageSetup paperSize="9" orientation="portrait" r:id="rId1"/>
  <headerFooter>
    <oddFooter>&amp;L&amp;"-,Fett Kursiv"&amp;10Franz Feldmann&amp;"-,Kursiv"&amp;9 www.e13.ch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45"/>
  <sheetViews>
    <sheetView showGridLines="0" showRowColHeaders="0" topLeftCell="A10" zoomScaleNormal="100" workbookViewId="0">
      <selection activeCell="I35" sqref="I34:J35"/>
    </sheetView>
  </sheetViews>
  <sheetFormatPr baseColWidth="10" defaultRowHeight="15" x14ac:dyDescent="0.25"/>
  <cols>
    <col min="1" max="2" width="5.140625" customWidth="1"/>
    <col min="3" max="3" width="5.85546875" customWidth="1"/>
    <col min="4" max="4" width="2" customWidth="1"/>
    <col min="5" max="5" width="6.42578125" style="113" customWidth="1"/>
    <col min="6" max="6" width="2.140625" customWidth="1"/>
    <col min="7" max="7" width="5.140625" customWidth="1"/>
    <col min="8" max="8" width="12.140625" customWidth="1"/>
    <col min="9" max="9" width="6.42578125" customWidth="1"/>
    <col min="10" max="10" width="2.140625" customWidth="1"/>
    <col min="11" max="11" width="7.140625" customWidth="1"/>
    <col min="12" max="12" width="7.5703125" customWidth="1"/>
    <col min="13" max="13" width="2.140625" customWidth="1"/>
    <col min="14" max="14" width="7.85546875" customWidth="1"/>
    <col min="15" max="15" width="2.5703125" customWidth="1"/>
    <col min="16" max="16" width="4.140625" customWidth="1"/>
    <col min="17" max="17" width="8.42578125" customWidth="1"/>
    <col min="18" max="18" width="2.140625" customWidth="1"/>
  </cols>
  <sheetData>
    <row r="2" spans="2:18" ht="22.5" customHeight="1" x14ac:dyDescent="0.25">
      <c r="B2" s="239" t="s">
        <v>141</v>
      </c>
      <c r="C2" s="240"/>
      <c r="D2" s="240"/>
      <c r="E2" s="240"/>
      <c r="F2" s="240"/>
      <c r="G2" s="240"/>
      <c r="H2" s="240"/>
      <c r="I2" s="275" t="s">
        <v>110</v>
      </c>
      <c r="J2" s="275"/>
      <c r="K2" s="286"/>
      <c r="L2" s="286"/>
      <c r="M2" s="135"/>
      <c r="N2" s="135"/>
      <c r="O2" s="275" t="s">
        <v>101</v>
      </c>
      <c r="P2" s="275"/>
      <c r="Q2" s="60" t="str">
        <f>Test!Q2</f>
        <v>T2</v>
      </c>
    </row>
    <row r="3" spans="2:18" ht="6.75" customHeight="1" x14ac:dyDescent="0.25">
      <c r="B3" s="136"/>
      <c r="C3" s="37"/>
      <c r="D3" s="37"/>
      <c r="E3" s="133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134"/>
    </row>
    <row r="4" spans="2:18" ht="18" customHeight="1" x14ac:dyDescent="0.25">
      <c r="B4" s="252" t="s">
        <v>128</v>
      </c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187"/>
      <c r="N4" s="47"/>
      <c r="O4" s="47"/>
      <c r="P4" s="47"/>
      <c r="Q4" s="19"/>
    </row>
    <row r="5" spans="2:18" ht="4.5" customHeight="1" x14ac:dyDescent="0.25">
      <c r="B5" s="136"/>
      <c r="C5" s="37"/>
      <c r="D5" s="37"/>
      <c r="E5" s="133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134"/>
    </row>
    <row r="6" spans="2:18" s="18" customFormat="1" ht="13.5" customHeight="1" x14ac:dyDescent="0.2">
      <c r="B6" s="342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119"/>
      <c r="P6" s="119"/>
      <c r="Q6" s="138"/>
      <c r="R6" s="108"/>
    </row>
    <row r="7" spans="2:18" s="131" customFormat="1" ht="21" customHeight="1" x14ac:dyDescent="0.25">
      <c r="B7" s="201" t="str">
        <f>Test!B6</f>
        <v>T2.1a</v>
      </c>
      <c r="C7" s="281" t="str">
        <f ca="1">'Arbeitsblatt kost Lös'!C17</f>
        <v>Eine Firma bestellt 0.442 cm³ Platin. Wie viel wiegt das?</v>
      </c>
      <c r="D7" s="281"/>
      <c r="E7" s="281"/>
      <c r="F7" s="281"/>
      <c r="G7" s="281"/>
      <c r="H7" s="281"/>
      <c r="I7" s="281"/>
      <c r="J7" s="281"/>
      <c r="K7" s="281"/>
      <c r="L7" s="281"/>
      <c r="M7" s="281"/>
      <c r="N7" s="281"/>
      <c r="O7" s="281"/>
      <c r="P7" s="336" t="str">
        <f ca="1">'Arbeitsblatt kost Lös'!B18</f>
        <v>9.5 Gramm</v>
      </c>
      <c r="Q7" s="337"/>
      <c r="R7" s="172"/>
    </row>
    <row r="8" spans="2:18" s="131" customFormat="1" ht="21" customHeight="1" x14ac:dyDescent="0.25">
      <c r="B8" s="201" t="str">
        <f>Test!B7</f>
        <v>T2.1b</v>
      </c>
      <c r="C8" s="281" t="str">
        <f>'Arbeitsblatt kostbar'!C19</f>
        <v>Wie viel kostet das?</v>
      </c>
      <c r="D8" s="281"/>
      <c r="E8" s="281"/>
      <c r="F8" s="281"/>
      <c r="G8" s="281"/>
      <c r="H8" s="281"/>
      <c r="I8" s="281"/>
      <c r="J8" s="281"/>
      <c r="K8" s="281"/>
      <c r="L8" s="281"/>
      <c r="M8" s="281"/>
      <c r="N8" s="281"/>
      <c r="O8" s="175"/>
      <c r="P8" s="336">
        <f ca="1">'Arbeitsblatt kost Lös'!B20</f>
        <v>308.65225080385846</v>
      </c>
      <c r="Q8" s="337"/>
      <c r="R8" s="172"/>
    </row>
    <row r="9" spans="2:18" s="131" customFormat="1" ht="21" customHeight="1" x14ac:dyDescent="0.25">
      <c r="B9" s="201" t="str">
        <f>Test!B8</f>
        <v>T2.2a</v>
      </c>
      <c r="C9" s="281" t="str">
        <f ca="1">'Arbeitsblatt kost Lös'!C21</f>
        <v>Eine Firma bestellt 45 Gramm Platin. Wie gross ist das Volumen in dm³?</v>
      </c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281"/>
      <c r="O9" s="281"/>
      <c r="P9" s="336" t="str">
        <f ca="1">'Arbeitsblatt kost Lös'!B22</f>
        <v>0.002097 dm³</v>
      </c>
      <c r="Q9" s="337"/>
      <c r="R9" s="172"/>
    </row>
    <row r="10" spans="2:18" s="131" customFormat="1" ht="21" customHeight="1" x14ac:dyDescent="0.25">
      <c r="B10" s="201" t="str">
        <f>Test!B9</f>
        <v>T2.2b</v>
      </c>
      <c r="C10" s="281" t="str">
        <f>'Arbeitsblatt kostbar'!C23</f>
        <v>Wie viel kostet das?</v>
      </c>
      <c r="D10" s="281"/>
      <c r="E10" s="281"/>
      <c r="F10" s="281"/>
      <c r="G10" s="281"/>
      <c r="H10" s="281"/>
      <c r="I10" s="281"/>
      <c r="J10" s="281"/>
      <c r="K10" s="281"/>
      <c r="L10" s="281"/>
      <c r="M10" s="281"/>
      <c r="N10" s="281"/>
      <c r="O10" s="175"/>
      <c r="P10" s="336">
        <f ca="1">'Arbeitsblatt kost Lös'!B24</f>
        <v>1462.0369774919611</v>
      </c>
      <c r="Q10" s="337"/>
      <c r="R10" s="172"/>
    </row>
    <row r="11" spans="2:18" s="131" customFormat="1" ht="21" customHeight="1" x14ac:dyDescent="0.25">
      <c r="B11" s="201" t="str">
        <f>Test!B10</f>
        <v>T2.3a</v>
      </c>
      <c r="C11" s="281" t="str">
        <f ca="1">'Arbeitsblatt kost Lös'!C25</f>
        <v>Eine Firma bestellt 1.165 cm³ Gold. Wie viel wiegt das?</v>
      </c>
      <c r="D11" s="281"/>
      <c r="E11" s="281"/>
      <c r="F11" s="281"/>
      <c r="G11" s="281"/>
      <c r="H11" s="281"/>
      <c r="I11" s="281"/>
      <c r="J11" s="281"/>
      <c r="K11" s="281"/>
      <c r="L11" s="281"/>
      <c r="M11" s="281"/>
      <c r="N11" s="281"/>
      <c r="O11" s="281"/>
      <c r="P11" s="336" t="str">
        <f ca="1">'Arbeitsblatt kost Lös'!B26</f>
        <v>22.5 Gramm</v>
      </c>
      <c r="Q11" s="337"/>
      <c r="R11" s="172"/>
    </row>
    <row r="12" spans="2:18" s="131" customFormat="1" ht="21" customHeight="1" x14ac:dyDescent="0.25">
      <c r="B12" s="201" t="str">
        <f>Test!B11</f>
        <v>T2.3b</v>
      </c>
      <c r="C12" s="281" t="str">
        <f>'Arbeitsblatt kostbar'!C27:J27</f>
        <v>Wie viel kostet das?</v>
      </c>
      <c r="D12" s="281"/>
      <c r="E12" s="281"/>
      <c r="F12" s="281"/>
      <c r="G12" s="281"/>
      <c r="H12" s="281"/>
      <c r="I12" s="281"/>
      <c r="J12" s="281"/>
      <c r="K12" s="281"/>
      <c r="L12" s="281"/>
      <c r="M12" s="281"/>
      <c r="N12" s="281"/>
      <c r="O12" s="175"/>
      <c r="P12" s="336">
        <f ca="1">'Arbeitsblatt kost Lös'!B28</f>
        <v>891.67500000000007</v>
      </c>
      <c r="Q12" s="337"/>
      <c r="R12" s="172"/>
    </row>
    <row r="13" spans="2:18" s="131" customFormat="1" ht="21" customHeight="1" x14ac:dyDescent="0.25">
      <c r="B13" s="201" t="str">
        <f>Test!B12</f>
        <v>T2.4</v>
      </c>
      <c r="C13" s="157" t="str">
        <f ca="1">wenig_Wert!B1</f>
        <v>Eine Firma bestellt 4159.4 Kilogramm Quarzglas. Wie gross ist das Volumen in m³?</v>
      </c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8" t="str">
        <f ca="1">wenig_Wert!C1</f>
        <v>1.890636 m³</v>
      </c>
      <c r="Q13" s="159"/>
      <c r="R13" s="130"/>
    </row>
    <row r="14" spans="2:18" s="131" customFormat="1" ht="21" customHeight="1" x14ac:dyDescent="0.25">
      <c r="B14" s="201" t="str">
        <f>Test!B13</f>
        <v>T2.5</v>
      </c>
      <c r="C14" s="157" t="str">
        <f ca="1">wenig_Wert!B2</f>
        <v>Eine Firma kauft 5.79326 m³ Gummi (Kautschuk). Wie viele Tonnen sind das?</v>
      </c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8" t="str">
        <f ca="1">wenig_Wert!C2</f>
        <v>5.3298 t</v>
      </c>
      <c r="Q14" s="159"/>
      <c r="R14" s="130"/>
    </row>
    <row r="15" spans="2:18" s="131" customFormat="1" ht="21" customHeight="1" x14ac:dyDescent="0.25">
      <c r="B15" s="201" t="str">
        <f>Test!B14</f>
        <v>T2.6</v>
      </c>
      <c r="C15" s="281" t="str">
        <f ca="1">wenig_Wert!B3</f>
        <v>Ein Händler bestellt 8.3002 Tonnen Plexiglas. Wie gross ist das Volumen in dm³?</v>
      </c>
      <c r="D15" s="281"/>
      <c r="E15" s="281"/>
      <c r="F15" s="281"/>
      <c r="G15" s="281"/>
      <c r="H15" s="281"/>
      <c r="I15" s="281"/>
      <c r="J15" s="281"/>
      <c r="K15" s="281"/>
      <c r="L15" s="281"/>
      <c r="M15" s="281"/>
      <c r="N15" s="281"/>
      <c r="O15" s="281"/>
      <c r="P15" s="291" t="str">
        <f ca="1">wenig_Wert!C3</f>
        <v>6974.957 dm³</v>
      </c>
      <c r="Q15" s="292"/>
      <c r="R15" s="130"/>
    </row>
    <row r="16" spans="2:18" s="131" customFormat="1" ht="21" customHeight="1" x14ac:dyDescent="0.25">
      <c r="B16" s="201" t="str">
        <f>Test!B15</f>
        <v>T2.7</v>
      </c>
      <c r="C16" s="281" t="str">
        <f ca="1">wenig_Wert!B4</f>
        <v>Eine Firma bestellt 0.7527 m³ Kupfer. Wie viele Tonnen sind das?</v>
      </c>
      <c r="D16" s="281"/>
      <c r="E16" s="281"/>
      <c r="F16" s="281"/>
      <c r="G16" s="281"/>
      <c r="H16" s="281"/>
      <c r="I16" s="281"/>
      <c r="J16" s="281"/>
      <c r="K16" s="281"/>
      <c r="L16" s="281"/>
      <c r="M16" s="281"/>
      <c r="N16" s="281"/>
      <c r="O16" s="281"/>
      <c r="P16" s="291" t="str">
        <f ca="1">wenig_Wert!C4</f>
        <v>6.7442 t</v>
      </c>
      <c r="Q16" s="292"/>
      <c r="R16" s="130"/>
    </row>
    <row r="17" spans="2:24" s="131" customFormat="1" ht="21" customHeight="1" x14ac:dyDescent="0.25">
      <c r="B17" s="201" t="str">
        <f>Test!B16</f>
        <v>T2.8</v>
      </c>
      <c r="C17" s="281" t="str">
        <f ca="1">wenig_Wert!B5</f>
        <v>Ein Händler kauft 5.5174 Tonnen Gusseisen. Wie gross ist das Volumen in dm³?</v>
      </c>
      <c r="D17" s="281"/>
      <c r="E17" s="281"/>
      <c r="F17" s="281"/>
      <c r="G17" s="281"/>
      <c r="H17" s="281"/>
      <c r="I17" s="281"/>
      <c r="J17" s="281"/>
      <c r="K17" s="281"/>
      <c r="L17" s="281"/>
      <c r="M17" s="281"/>
      <c r="N17" s="281"/>
      <c r="O17" s="281"/>
      <c r="P17" s="291" t="str">
        <f ca="1">wenig_Wert!C5</f>
        <v>761.02 dm³</v>
      </c>
      <c r="Q17" s="292"/>
      <c r="R17" s="130"/>
    </row>
    <row r="18" spans="2:24" s="131" customFormat="1" ht="21" customHeight="1" x14ac:dyDescent="0.25">
      <c r="B18" s="201" t="str">
        <f>Test!B17</f>
        <v>T2.9</v>
      </c>
      <c r="C18" s="281" t="str">
        <f ca="1">wenig_Wert!B6</f>
        <v>Ein Händler bestellt 80.308 dm³ Quecksilber. Wie viele Kilogramm sind das?</v>
      </c>
      <c r="D18" s="281"/>
      <c r="E18" s="281"/>
      <c r="F18" s="281"/>
      <c r="G18" s="281"/>
      <c r="H18" s="281"/>
      <c r="I18" s="281"/>
      <c r="J18" s="281"/>
      <c r="K18" s="281"/>
      <c r="L18" s="281"/>
      <c r="M18" s="281"/>
      <c r="N18" s="281"/>
      <c r="O18" s="281"/>
      <c r="P18" s="291" t="str">
        <f ca="1">wenig_Wert!C6</f>
        <v>1091.8 kg</v>
      </c>
      <c r="Q18" s="292"/>
      <c r="R18" s="130"/>
    </row>
    <row r="19" spans="2:24" s="131" customFormat="1" ht="21" customHeight="1" x14ac:dyDescent="0.25">
      <c r="B19" s="201" t="str">
        <f>Test!B18</f>
        <v>T2.10</v>
      </c>
      <c r="C19" s="281" t="str">
        <f ca="1">wenig_Wert!B7</f>
        <v>Eine Firma kauft 888.75 dm³ Kork. Wie viele Kilogramm sind das?</v>
      </c>
      <c r="D19" s="281"/>
      <c r="E19" s="281"/>
      <c r="F19" s="281"/>
      <c r="G19" s="281"/>
      <c r="H19" s="281"/>
      <c r="I19" s="281"/>
      <c r="J19" s="281"/>
      <c r="K19" s="281"/>
      <c r="L19" s="281"/>
      <c r="M19" s="281"/>
      <c r="N19" s="281"/>
      <c r="O19" s="281"/>
      <c r="P19" s="291" t="str">
        <f ca="1">wenig_Wert!C7</f>
        <v>426.6 kg</v>
      </c>
      <c r="Q19" s="292"/>
      <c r="R19" s="130"/>
    </row>
    <row r="20" spans="2:24" s="131" customFormat="1" ht="21" customHeight="1" x14ac:dyDescent="0.25">
      <c r="B20" s="201" t="str">
        <f>Test!B19</f>
        <v>T2.11</v>
      </c>
      <c r="C20" s="281" t="str">
        <f ca="1">wenig_Wert!B8</f>
        <v>Ein Händler bestellt 1638.4 Kilogramm Beton. Wie gross ist das Volumen in m³?</v>
      </c>
      <c r="D20" s="281"/>
      <c r="E20" s="281"/>
      <c r="F20" s="281"/>
      <c r="G20" s="281"/>
      <c r="H20" s="281"/>
      <c r="I20" s="281"/>
      <c r="J20" s="281"/>
      <c r="K20" s="281"/>
      <c r="L20" s="281"/>
      <c r="M20" s="281"/>
      <c r="N20" s="281"/>
      <c r="O20" s="281"/>
      <c r="P20" s="291" t="str">
        <f ca="1">wenig_Wert!C8</f>
        <v>0.668734 m³</v>
      </c>
      <c r="Q20" s="292"/>
      <c r="R20" s="130"/>
      <c r="T20" s="132"/>
      <c r="U20" s="132"/>
      <c r="V20" s="132"/>
      <c r="W20" s="132"/>
      <c r="X20" s="132"/>
    </row>
    <row r="21" spans="2:24" s="131" customFormat="1" ht="21" customHeight="1" x14ac:dyDescent="0.25">
      <c r="B21" s="231" t="str">
        <f>Test!B20</f>
        <v>T2.12</v>
      </c>
      <c r="C21" s="320" t="str">
        <f ca="1">wenig_Wert!B9</f>
        <v>Ein Händler kauft 1373.642 dm³ Granit. Wie viele Kilogramm sind das?</v>
      </c>
      <c r="D21" s="320"/>
      <c r="E21" s="320"/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279" t="str">
        <f ca="1">wenig_Wert!C9</f>
        <v>3846.2 kg</v>
      </c>
      <c r="Q21" s="280"/>
      <c r="R21" s="130"/>
      <c r="T21" s="132"/>
      <c r="U21" s="132"/>
      <c r="V21" s="132"/>
      <c r="W21" s="132"/>
      <c r="X21" s="132"/>
    </row>
    <row r="22" spans="2:24" s="131" customFormat="1" ht="21" customHeight="1" x14ac:dyDescent="0.2">
      <c r="R22" s="130"/>
      <c r="V22" s="35"/>
      <c r="W22" s="35"/>
      <c r="X22" s="132"/>
    </row>
    <row r="23" spans="2:24" s="131" customFormat="1" ht="13.5" customHeight="1" x14ac:dyDescent="0.25">
      <c r="B23" s="276" t="s">
        <v>129</v>
      </c>
      <c r="C23" s="277"/>
      <c r="D23" s="277"/>
      <c r="E23" s="277"/>
      <c r="F23" s="277"/>
      <c r="G23" s="277"/>
      <c r="H23" s="277"/>
      <c r="I23" s="277"/>
      <c r="J23" s="277"/>
      <c r="K23" s="277"/>
      <c r="L23" s="277"/>
      <c r="M23" s="277"/>
      <c r="N23" s="277"/>
      <c r="O23" s="181"/>
      <c r="P23" s="181"/>
      <c r="Q23" s="182"/>
      <c r="R23" s="130"/>
      <c r="S23" s="130"/>
      <c r="V23" s="37"/>
      <c r="W23" s="169"/>
      <c r="X23" s="132"/>
    </row>
    <row r="24" spans="2:24" s="131" customFormat="1" ht="13.5" customHeight="1" x14ac:dyDescent="0.25">
      <c r="B24" s="327" t="str">
        <f>'Arbeitsblatt alle'!B7</f>
        <v>Aluminium</v>
      </c>
      <c r="C24" s="328"/>
      <c r="D24" s="328"/>
      <c r="E24" s="180">
        <f>Test!E23</f>
        <v>2.71</v>
      </c>
      <c r="F24" s="180"/>
      <c r="G24" s="328" t="str">
        <f>'Arbeitsblatt alle'!G7</f>
        <v>Gummi (Kautschuk)</v>
      </c>
      <c r="H24" s="328"/>
      <c r="I24" s="329">
        <f>Test!I23</f>
        <v>0.92</v>
      </c>
      <c r="J24" s="329"/>
      <c r="K24" s="180"/>
      <c r="L24" s="328" t="str">
        <f>'Arbeitsblatt alle'!K7</f>
        <v>Quecksilber</v>
      </c>
      <c r="M24" s="328"/>
      <c r="N24" s="328"/>
      <c r="O24" s="328">
        <f>Test!O23</f>
        <v>13.595000000000001</v>
      </c>
      <c r="P24" s="328"/>
      <c r="Q24" s="183"/>
      <c r="R24" s="130"/>
      <c r="S24" s="130"/>
      <c r="T24" s="168"/>
      <c r="U24" s="170"/>
      <c r="V24" s="37"/>
      <c r="W24" s="169"/>
      <c r="X24" s="132"/>
    </row>
    <row r="25" spans="2:24" s="131" customFormat="1" ht="13.5" customHeight="1" x14ac:dyDescent="0.25">
      <c r="B25" s="327" t="str">
        <f>'Arbeitsblatt alle'!B8</f>
        <v>Beton</v>
      </c>
      <c r="C25" s="328"/>
      <c r="D25" s="328"/>
      <c r="E25" s="180">
        <f>Test!E24</f>
        <v>2.4500000000000002</v>
      </c>
      <c r="F25" s="180"/>
      <c r="G25" s="328" t="str">
        <f>'Arbeitsblatt alle'!G8</f>
        <v>Gusseisen</v>
      </c>
      <c r="H25" s="328"/>
      <c r="I25" s="329">
        <f>Test!I24</f>
        <v>7.25</v>
      </c>
      <c r="J25" s="329"/>
      <c r="K25" s="180"/>
      <c r="L25" s="328" t="str">
        <f>'Arbeitsblatt alle'!K8</f>
        <v>Schwefel</v>
      </c>
      <c r="M25" s="328"/>
      <c r="N25" s="328"/>
      <c r="O25" s="328">
        <f>Test!O24</f>
        <v>2.0699999999999998</v>
      </c>
      <c r="P25" s="328"/>
      <c r="Q25" s="183"/>
      <c r="R25" s="130"/>
      <c r="S25" s="130"/>
      <c r="T25" s="168"/>
      <c r="U25" s="170"/>
      <c r="V25" s="37"/>
      <c r="W25" s="169"/>
      <c r="X25" s="132"/>
    </row>
    <row r="26" spans="2:24" s="131" customFormat="1" ht="13.5" customHeight="1" x14ac:dyDescent="0.25">
      <c r="B26" s="327" t="str">
        <f>'Arbeitsblatt alle'!B9</f>
        <v>Blei</v>
      </c>
      <c r="C26" s="328"/>
      <c r="D26" s="328"/>
      <c r="E26" s="180">
        <f>Test!E25</f>
        <v>11.34</v>
      </c>
      <c r="F26" s="180"/>
      <c r="G26" s="328" t="str">
        <f>'Arbeitsblatt alle'!G9</f>
        <v xml:space="preserve">Kohlenstoff </v>
      </c>
      <c r="H26" s="328"/>
      <c r="I26" s="329">
        <f>Test!I25</f>
        <v>2.25</v>
      </c>
      <c r="J26" s="329"/>
      <c r="K26" s="180"/>
      <c r="L26" s="328" t="str">
        <f>'Arbeitsblatt alle'!K9</f>
        <v>Stahl legiert</v>
      </c>
      <c r="M26" s="328"/>
      <c r="N26" s="328"/>
      <c r="O26" s="328">
        <f>Test!O25</f>
        <v>7.9</v>
      </c>
      <c r="P26" s="328"/>
      <c r="Q26" s="183"/>
      <c r="R26" s="132"/>
      <c r="S26" s="130"/>
      <c r="T26" s="168"/>
      <c r="U26" s="170"/>
      <c r="V26" s="37"/>
      <c r="W26" s="169"/>
      <c r="X26" s="132"/>
    </row>
    <row r="27" spans="2:24" s="131" customFormat="1" ht="13.5" customHeight="1" x14ac:dyDescent="0.25">
      <c r="B27" s="327" t="str">
        <f>'Arbeitsblatt alle'!B10</f>
        <v>Eichenholz</v>
      </c>
      <c r="C27" s="328"/>
      <c r="D27" s="328"/>
      <c r="E27" s="180">
        <f>Test!E26</f>
        <v>0.8</v>
      </c>
      <c r="F27" s="180"/>
      <c r="G27" s="328" t="str">
        <f>'Arbeitsblatt alle'!G10</f>
        <v>Kork</v>
      </c>
      <c r="H27" s="328"/>
      <c r="I27" s="329">
        <f>Test!I26</f>
        <v>0.48</v>
      </c>
      <c r="J27" s="329"/>
      <c r="K27" s="180"/>
      <c r="L27" s="328" t="str">
        <f>'Arbeitsblatt alle'!K10</f>
        <v>Stahl unlegiert</v>
      </c>
      <c r="M27" s="328"/>
      <c r="N27" s="328"/>
      <c r="O27" s="328">
        <f>Test!O26</f>
        <v>7.85</v>
      </c>
      <c r="P27" s="328"/>
      <c r="Q27" s="183"/>
      <c r="R27" s="132"/>
      <c r="S27" s="130"/>
      <c r="T27" s="168"/>
      <c r="U27" s="170"/>
      <c r="V27" s="37"/>
      <c r="W27" s="169"/>
      <c r="X27" s="132"/>
    </row>
    <row r="28" spans="2:24" s="131" customFormat="1" ht="13.5" customHeight="1" x14ac:dyDescent="0.25">
      <c r="B28" s="327" t="str">
        <f>'Arbeitsblatt alle'!B11</f>
        <v>Eis</v>
      </c>
      <c r="C28" s="328"/>
      <c r="D28" s="328"/>
      <c r="E28" s="180">
        <f>Test!E27</f>
        <v>0.91700000000000004</v>
      </c>
      <c r="F28" s="173"/>
      <c r="G28" s="328" t="str">
        <f>'Arbeitsblatt alle'!G11</f>
        <v>Kupfer</v>
      </c>
      <c r="H28" s="328"/>
      <c r="I28" s="329">
        <f>Test!I27</f>
        <v>8.9600000000000009</v>
      </c>
      <c r="J28" s="329"/>
      <c r="K28" s="173"/>
      <c r="L28" s="328" t="str">
        <f>'Arbeitsblatt alle'!K11</f>
        <v>Steinkohle</v>
      </c>
      <c r="M28" s="328"/>
      <c r="N28" s="328"/>
      <c r="O28" s="328">
        <f>Test!O27</f>
        <v>1.35</v>
      </c>
      <c r="P28" s="328"/>
      <c r="Q28" s="178"/>
      <c r="R28" s="132"/>
      <c r="S28" s="130"/>
      <c r="T28" s="168"/>
      <c r="U28" s="170"/>
      <c r="V28" s="37"/>
      <c r="W28" s="169"/>
      <c r="X28" s="132"/>
    </row>
    <row r="29" spans="2:24" s="131" customFormat="1" ht="13.5" customHeight="1" x14ac:dyDescent="0.25">
      <c r="B29" s="327" t="str">
        <f>'Arbeitsblatt alle'!B12</f>
        <v>Eisen</v>
      </c>
      <c r="C29" s="328"/>
      <c r="D29" s="328"/>
      <c r="E29" s="180">
        <f>Test!E28</f>
        <v>7.86</v>
      </c>
      <c r="F29" s="177"/>
      <c r="G29" s="328" t="str">
        <f>'Arbeitsblatt alle'!G12</f>
        <v>Magnesium</v>
      </c>
      <c r="H29" s="328"/>
      <c r="I29" s="329">
        <f>Test!I28</f>
        <v>1.738</v>
      </c>
      <c r="J29" s="329"/>
      <c r="K29" s="177"/>
      <c r="L29" s="328" t="str">
        <f>'Arbeitsblatt alle'!K12</f>
        <v>Wasser (bei 0 °C)</v>
      </c>
      <c r="M29" s="328"/>
      <c r="N29" s="328"/>
      <c r="O29" s="328">
        <f>Test!O28</f>
        <v>1</v>
      </c>
      <c r="P29" s="328"/>
      <c r="Q29" s="179"/>
      <c r="R29" s="132"/>
      <c r="S29" s="130"/>
      <c r="T29" s="168"/>
      <c r="U29" s="170"/>
      <c r="V29" s="37"/>
      <c r="W29" s="169"/>
      <c r="X29" s="132"/>
    </row>
    <row r="30" spans="2:24" s="131" customFormat="1" ht="13.5" customHeight="1" x14ac:dyDescent="0.25">
      <c r="B30" s="327" t="str">
        <f>'Arbeitsblatt alle'!B13</f>
        <v>Eisenstahl</v>
      </c>
      <c r="C30" s="328"/>
      <c r="D30" s="328"/>
      <c r="E30" s="180">
        <f>Test!E29</f>
        <v>7.7</v>
      </c>
      <c r="F30" s="177"/>
      <c r="G30" s="328" t="str">
        <f>'Arbeitsblatt alle'!G13</f>
        <v>Messing</v>
      </c>
      <c r="H30" s="328"/>
      <c r="I30" s="329">
        <f>Test!I29</f>
        <v>8.1</v>
      </c>
      <c r="J30" s="329"/>
      <c r="K30" s="177"/>
      <c r="L30" s="328" t="str">
        <f>'Arbeitsblatt alle'!K13</f>
        <v>Zement</v>
      </c>
      <c r="M30" s="328"/>
      <c r="N30" s="328"/>
      <c r="O30" s="328">
        <f>Test!O29</f>
        <v>3.1</v>
      </c>
      <c r="P30" s="328"/>
      <c r="Q30" s="179"/>
      <c r="R30" s="132"/>
      <c r="S30" s="130"/>
      <c r="T30" s="168"/>
      <c r="U30" s="170"/>
      <c r="V30" s="37"/>
      <c r="W30" s="169"/>
      <c r="X30" s="132"/>
    </row>
    <row r="31" spans="2:24" s="131" customFormat="1" ht="13.5" customHeight="1" x14ac:dyDescent="0.25">
      <c r="B31" s="327" t="str">
        <f>'Arbeitsblatt alle'!B14</f>
        <v>Fensterglas</v>
      </c>
      <c r="C31" s="328"/>
      <c r="D31" s="328"/>
      <c r="E31" s="180">
        <f>Test!E30</f>
        <v>2.5</v>
      </c>
      <c r="F31" s="177"/>
      <c r="G31" s="328" t="str">
        <f>'Arbeitsblatt alle'!G14</f>
        <v>Nickel</v>
      </c>
      <c r="H31" s="328"/>
      <c r="I31" s="329">
        <f>Test!I30</f>
        <v>8.91</v>
      </c>
      <c r="J31" s="329"/>
      <c r="K31" s="177"/>
      <c r="L31" s="328" t="str">
        <f>'Arbeitsblatt alle'!K14</f>
        <v>Zink</v>
      </c>
      <c r="M31" s="328"/>
      <c r="N31" s="328"/>
      <c r="O31" s="328">
        <f>Test!O30</f>
        <v>7.13</v>
      </c>
      <c r="P31" s="328"/>
      <c r="Q31" s="179"/>
      <c r="R31" s="132"/>
      <c r="S31" s="130"/>
      <c r="T31" s="168"/>
      <c r="U31" s="170"/>
      <c r="V31" s="37"/>
      <c r="W31" s="169"/>
      <c r="X31" s="132"/>
    </row>
    <row r="32" spans="2:24" s="131" customFormat="1" ht="13.5" customHeight="1" x14ac:dyDescent="0.25">
      <c r="B32" s="327" t="str">
        <f>'Arbeitsblatt alle'!B15</f>
        <v>Fichtenholz</v>
      </c>
      <c r="C32" s="328"/>
      <c r="D32" s="328"/>
      <c r="E32" s="180">
        <f>Test!E31</f>
        <v>0.5</v>
      </c>
      <c r="F32" s="177"/>
      <c r="G32" s="328" t="str">
        <f>'Arbeitsblatt alle'!G15</f>
        <v>Papier Büroqualität</v>
      </c>
      <c r="H32" s="328"/>
      <c r="I32" s="329">
        <f>Test!I31</f>
        <v>0.8</v>
      </c>
      <c r="J32" s="329"/>
      <c r="K32" s="177"/>
      <c r="L32" s="328" t="str">
        <f>'Arbeitsblatt alle'!K15</f>
        <v>Zinn</v>
      </c>
      <c r="M32" s="328"/>
      <c r="N32" s="328"/>
      <c r="O32" s="328">
        <f>Test!O31</f>
        <v>7.28</v>
      </c>
      <c r="P32" s="328"/>
      <c r="Q32" s="179"/>
      <c r="R32" s="132"/>
      <c r="S32" s="130"/>
      <c r="T32" s="168"/>
      <c r="U32" s="170"/>
      <c r="V32" s="37"/>
      <c r="W32" s="169"/>
      <c r="X32" s="132"/>
    </row>
    <row r="33" spans="2:24" s="131" customFormat="1" ht="13.5" customHeight="1" x14ac:dyDescent="0.25">
      <c r="B33" s="327" t="str">
        <f>'Arbeitsblatt alle'!B16</f>
        <v>Gips</v>
      </c>
      <c r="C33" s="328"/>
      <c r="D33" s="328"/>
      <c r="E33" s="180">
        <f>Test!E32</f>
        <v>2.2999999999999998</v>
      </c>
      <c r="F33" s="177"/>
      <c r="G33" s="328" t="str">
        <f>'Arbeitsblatt alle'!G16</f>
        <v>Plexiglas</v>
      </c>
      <c r="H33" s="328"/>
      <c r="I33" s="329">
        <f>Test!I32</f>
        <v>1.19</v>
      </c>
      <c r="J33" s="329"/>
      <c r="K33" s="177"/>
      <c r="L33" s="328" t="str">
        <f>'Arbeitsblatt kostbar'!B14</f>
        <v>Uran</v>
      </c>
      <c r="M33" s="328"/>
      <c r="N33" s="328"/>
      <c r="O33" s="328">
        <f>Test!O32</f>
        <v>19.05</v>
      </c>
      <c r="P33" s="328"/>
      <c r="Q33" s="179"/>
      <c r="R33" s="132"/>
      <c r="S33" s="130"/>
      <c r="T33" s="168"/>
      <c r="U33" s="170"/>
      <c r="V33" s="37"/>
      <c r="W33" s="169"/>
      <c r="X33" s="132"/>
    </row>
    <row r="34" spans="2:24" s="131" customFormat="1" ht="13.5" customHeight="1" x14ac:dyDescent="0.25">
      <c r="B34" s="327" t="str">
        <f>'Arbeitsblatt alle'!B17</f>
        <v>Granit</v>
      </c>
      <c r="C34" s="328"/>
      <c r="D34" s="328"/>
      <c r="E34" s="180">
        <f>Test!E33</f>
        <v>2.8</v>
      </c>
      <c r="F34" s="177"/>
      <c r="G34" s="328" t="str">
        <f>'Arbeitsblatt alle'!G17</f>
        <v>Quarzglas</v>
      </c>
      <c r="H34" s="328"/>
      <c r="I34" s="329">
        <f>Test!I33</f>
        <v>2.2000000000000002</v>
      </c>
      <c r="J34" s="329"/>
      <c r="K34" s="177"/>
      <c r="L34" s="328" t="str">
        <f>'Arbeitsblatt kostbar'!B15</f>
        <v>Titan</v>
      </c>
      <c r="M34" s="328"/>
      <c r="N34" s="328"/>
      <c r="O34" s="328">
        <f>Test!O33</f>
        <v>4.5</v>
      </c>
      <c r="P34" s="328"/>
      <c r="Q34" s="179"/>
      <c r="R34" s="132"/>
      <c r="S34" s="130"/>
      <c r="T34" s="168"/>
      <c r="U34" s="170"/>
      <c r="V34" s="37"/>
      <c r="W34" s="169"/>
      <c r="X34" s="132"/>
    </row>
    <row r="35" spans="2:24" s="131" customFormat="1" ht="13.5" customHeight="1" x14ac:dyDescent="0.25">
      <c r="B35" s="327" t="str">
        <f>'Arbeitsblatt kostbar'!B10</f>
        <v>Diamant</v>
      </c>
      <c r="C35" s="328"/>
      <c r="D35" s="328"/>
      <c r="E35" s="180">
        <f>Test!E34</f>
        <v>3.51</v>
      </c>
      <c r="F35" s="177"/>
      <c r="G35" s="328" t="str">
        <f>'Arbeitsblatt kostbar'!B12</f>
        <v>Gold</v>
      </c>
      <c r="H35" s="328"/>
      <c r="I35" s="329">
        <f>Test!I34</f>
        <v>19.302</v>
      </c>
      <c r="J35" s="329"/>
      <c r="K35" s="177"/>
      <c r="L35" s="328"/>
      <c r="M35" s="328"/>
      <c r="N35" s="328"/>
      <c r="O35" s="328"/>
      <c r="P35" s="328"/>
      <c r="Q35" s="179"/>
      <c r="R35" s="132"/>
      <c r="S35" s="130"/>
      <c r="T35" s="168"/>
      <c r="U35" s="170"/>
      <c r="V35" s="37"/>
      <c r="W35" s="169"/>
      <c r="X35" s="132"/>
    </row>
    <row r="36" spans="2:24" s="131" customFormat="1" ht="13.5" customHeight="1" x14ac:dyDescent="0.25">
      <c r="B36" s="338" t="str">
        <f>'Arbeitsblatt kostbar'!B11</f>
        <v>Silber</v>
      </c>
      <c r="C36" s="331"/>
      <c r="D36" s="331"/>
      <c r="E36" s="184">
        <f>Test!E35</f>
        <v>10.49</v>
      </c>
      <c r="F36" s="185"/>
      <c r="G36" s="331" t="str">
        <f>'Arbeitsblatt kostbar'!B13</f>
        <v>Platin</v>
      </c>
      <c r="H36" s="331"/>
      <c r="I36" s="341">
        <f>Test!I35</f>
        <v>21.45</v>
      </c>
      <c r="J36" s="341"/>
      <c r="K36" s="185"/>
      <c r="L36" s="331"/>
      <c r="M36" s="331"/>
      <c r="N36" s="331"/>
      <c r="O36" s="331"/>
      <c r="P36" s="331"/>
      <c r="Q36" s="186"/>
      <c r="R36" s="132"/>
      <c r="S36" s="130"/>
      <c r="T36" s="168"/>
      <c r="U36" s="170"/>
      <c r="V36" s="37"/>
      <c r="W36" s="169"/>
      <c r="X36" s="132"/>
    </row>
    <row r="37" spans="2:24" s="131" customFormat="1" ht="13.5" customHeight="1" x14ac:dyDescent="0.25">
      <c r="B37" s="339"/>
      <c r="C37" s="339"/>
      <c r="D37" s="339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8"/>
      <c r="Q37" s="158"/>
      <c r="R37" s="132"/>
      <c r="S37" s="130"/>
      <c r="T37" s="168"/>
      <c r="U37" s="170"/>
      <c r="V37" s="37"/>
      <c r="W37" s="169"/>
      <c r="X37" s="132"/>
    </row>
    <row r="38" spans="2:24" s="131" customFormat="1" ht="13.5" customHeight="1" x14ac:dyDescent="0.25">
      <c r="B38" s="332" t="s">
        <v>86</v>
      </c>
      <c r="C38" s="333"/>
      <c r="D38" s="333"/>
      <c r="E38" s="333"/>
      <c r="F38" s="333"/>
      <c r="G38" s="333"/>
      <c r="H38" s="333"/>
      <c r="I38" s="333"/>
      <c r="J38" s="334"/>
      <c r="K38" s="157"/>
      <c r="L38" s="157"/>
      <c r="M38" s="157"/>
      <c r="N38" s="157"/>
      <c r="O38" s="157"/>
      <c r="P38" s="158"/>
      <c r="Q38" s="158"/>
      <c r="R38" s="132"/>
      <c r="S38" s="330" t="s">
        <v>140</v>
      </c>
      <c r="T38" s="330"/>
      <c r="U38" s="170"/>
      <c r="V38" s="37"/>
      <c r="W38" s="169"/>
      <c r="X38" s="132"/>
    </row>
    <row r="39" spans="2:24" s="131" customFormat="1" ht="13.5" customHeight="1" x14ac:dyDescent="0.25">
      <c r="B39" s="21" t="s">
        <v>33</v>
      </c>
      <c r="C39" s="36"/>
      <c r="D39" s="335">
        <f>'Arbeitsblatt kostbar'!M10</f>
        <v>20000</v>
      </c>
      <c r="E39" s="335"/>
      <c r="F39" s="335"/>
      <c r="G39" s="335"/>
      <c r="H39" s="23" t="s">
        <v>111</v>
      </c>
      <c r="I39" s="164"/>
      <c r="J39" s="165"/>
      <c r="K39" s="157"/>
      <c r="L39" s="157"/>
      <c r="M39" s="157"/>
      <c r="N39" s="157"/>
      <c r="O39" s="157"/>
      <c r="P39" s="158"/>
      <c r="Q39" s="158"/>
      <c r="R39" s="132"/>
      <c r="S39" s="330"/>
      <c r="T39" s="330"/>
      <c r="U39" s="170"/>
      <c r="V39" s="37"/>
      <c r="W39" s="169"/>
      <c r="X39" s="132"/>
    </row>
    <row r="40" spans="2:24" s="131" customFormat="1" ht="13.5" customHeight="1" x14ac:dyDescent="0.25">
      <c r="B40" s="21" t="s">
        <v>26</v>
      </c>
      <c r="C40" s="36"/>
      <c r="D40" s="335">
        <f>'Arbeitsblatt kostbar'!M11</f>
        <v>0.57999999999999996</v>
      </c>
      <c r="E40" s="335"/>
      <c r="F40" s="335"/>
      <c r="G40" s="335"/>
      <c r="H40" s="23" t="s">
        <v>80</v>
      </c>
      <c r="I40" s="164"/>
      <c r="J40" s="165"/>
      <c r="K40" s="157"/>
      <c r="L40" s="157"/>
      <c r="M40" s="157"/>
      <c r="N40" s="157"/>
      <c r="O40" s="157"/>
      <c r="P40" s="158"/>
      <c r="Q40" s="158"/>
      <c r="R40" s="132"/>
      <c r="S40" s="330"/>
      <c r="T40" s="330"/>
      <c r="U40" s="170"/>
      <c r="V40" s="37"/>
      <c r="W40" s="169"/>
      <c r="X40" s="132"/>
    </row>
    <row r="41" spans="2:24" s="131" customFormat="1" ht="13.5" customHeight="1" x14ac:dyDescent="0.25">
      <c r="B41" s="21" t="s">
        <v>29</v>
      </c>
      <c r="C41" s="36"/>
      <c r="D41" s="335">
        <f>'Arbeitsblatt kostbar'!M12</f>
        <v>39.630000000000003</v>
      </c>
      <c r="E41" s="335"/>
      <c r="F41" s="335"/>
      <c r="G41" s="335"/>
      <c r="H41" s="23" t="s">
        <v>80</v>
      </c>
      <c r="I41" s="164"/>
      <c r="J41" s="165"/>
      <c r="K41" s="174"/>
      <c r="L41" s="174"/>
      <c r="M41" s="174"/>
      <c r="N41" s="174"/>
      <c r="O41" s="174"/>
      <c r="P41" s="291"/>
      <c r="Q41" s="291"/>
      <c r="R41" s="132"/>
      <c r="S41" s="330"/>
      <c r="T41" s="330"/>
      <c r="U41" s="130"/>
      <c r="V41" s="132"/>
      <c r="W41" s="132"/>
      <c r="X41" s="132"/>
    </row>
    <row r="42" spans="2:24" s="131" customFormat="1" ht="13.5" customHeight="1" x14ac:dyDescent="0.25">
      <c r="B42" s="21" t="s">
        <v>30</v>
      </c>
      <c r="C42" s="36"/>
      <c r="D42" s="335">
        <f>'Arbeitsblatt kostbar'!M13</f>
        <v>1010.43</v>
      </c>
      <c r="E42" s="335"/>
      <c r="F42" s="335"/>
      <c r="G42" s="335"/>
      <c r="H42" s="23" t="s">
        <v>81</v>
      </c>
      <c r="I42" s="164"/>
      <c r="J42" s="165"/>
      <c r="K42" s="174"/>
      <c r="L42" s="174"/>
      <c r="M42" s="174"/>
      <c r="N42" s="174"/>
      <c r="O42" s="174"/>
      <c r="P42" s="291"/>
      <c r="Q42" s="291"/>
      <c r="R42" s="132"/>
      <c r="S42" s="130"/>
      <c r="T42" s="163"/>
    </row>
    <row r="43" spans="2:24" s="131" customFormat="1" ht="13.5" customHeight="1" x14ac:dyDescent="0.25">
      <c r="B43" s="21" t="s">
        <v>28</v>
      </c>
      <c r="C43" s="36"/>
      <c r="D43" s="335">
        <f>'Arbeitsblatt kostbar'!M14</f>
        <v>26.81</v>
      </c>
      <c r="E43" s="335"/>
      <c r="F43" s="335"/>
      <c r="G43" s="335"/>
      <c r="H43" s="23" t="s">
        <v>82</v>
      </c>
      <c r="I43" s="164"/>
      <c r="J43" s="165"/>
      <c r="K43" s="174"/>
      <c r="L43" s="174"/>
      <c r="M43" s="174"/>
      <c r="N43" s="174"/>
      <c r="O43" s="174"/>
      <c r="P43" s="291"/>
      <c r="Q43" s="291"/>
      <c r="R43" s="132"/>
      <c r="S43" s="130"/>
      <c r="T43" s="163"/>
    </row>
    <row r="44" spans="2:24" s="131" customFormat="1" ht="13.5" customHeight="1" x14ac:dyDescent="0.25">
      <c r="B44" s="25" t="s">
        <v>15</v>
      </c>
      <c r="C44" s="45"/>
      <c r="D44" s="340">
        <f>'Arbeitsblatt kostbar'!M15</f>
        <v>24.83</v>
      </c>
      <c r="E44" s="340"/>
      <c r="F44" s="340"/>
      <c r="G44" s="340"/>
      <c r="H44" s="27" t="s">
        <v>83</v>
      </c>
      <c r="I44" s="166"/>
      <c r="J44" s="167"/>
      <c r="K44" s="174"/>
      <c r="L44" s="174"/>
      <c r="M44" s="174"/>
      <c r="N44" s="174"/>
      <c r="O44" s="174"/>
      <c r="P44" s="291"/>
      <c r="Q44" s="291"/>
      <c r="R44" s="132"/>
      <c r="S44" s="130"/>
      <c r="T44" s="163"/>
    </row>
    <row r="45" spans="2:24" s="131" customFormat="1" ht="9.75" customHeight="1" x14ac:dyDescent="0.25">
      <c r="B45" s="162"/>
      <c r="C45" s="281"/>
      <c r="D45" s="281"/>
      <c r="E45" s="281"/>
      <c r="F45" s="281"/>
      <c r="G45" s="281"/>
      <c r="H45" s="281"/>
      <c r="I45" s="281"/>
      <c r="J45" s="281"/>
      <c r="K45" s="281"/>
      <c r="L45" s="281"/>
      <c r="M45" s="281"/>
      <c r="N45" s="281"/>
      <c r="O45" s="281"/>
      <c r="P45" s="291"/>
      <c r="Q45" s="291"/>
      <c r="S45" s="130"/>
      <c r="T45" s="163"/>
    </row>
  </sheetData>
  <sheetProtection algorithmName="SHA-512" hashValue="U+zwyAGJpZrqfbmZWC9mhPLNEpP8QXKRQtJeDXM/ZwKxq6X3Y6byP++kFU5TvBJtFgYZLaZZqtlbWHR4+4I99A==" saltValue="qep6fkE3V3QZ4sHJEvj27Q==" spinCount="100000" sheet="1" objects="1" scenarios="1" selectLockedCells="1" selectUnlockedCells="1"/>
  <mergeCells count="113">
    <mergeCell ref="I36:J36"/>
    <mergeCell ref="G35:H35"/>
    <mergeCell ref="G36:H36"/>
    <mergeCell ref="I2:J2"/>
    <mergeCell ref="K2:L2"/>
    <mergeCell ref="O2:P2"/>
    <mergeCell ref="B4:L4"/>
    <mergeCell ref="B6:N6"/>
    <mergeCell ref="B2:H2"/>
    <mergeCell ref="G24:H24"/>
    <mergeCell ref="I24:J24"/>
    <mergeCell ref="C16:O16"/>
    <mergeCell ref="P16:Q16"/>
    <mergeCell ref="C17:O17"/>
    <mergeCell ref="P17:Q17"/>
    <mergeCell ref="C18:O18"/>
    <mergeCell ref="P18:Q18"/>
    <mergeCell ref="C15:O15"/>
    <mergeCell ref="P15:Q15"/>
    <mergeCell ref="L24:N24"/>
    <mergeCell ref="O24:P24"/>
    <mergeCell ref="C19:O19"/>
    <mergeCell ref="P19:Q19"/>
    <mergeCell ref="C20:O20"/>
    <mergeCell ref="P20:Q20"/>
    <mergeCell ref="B24:D24"/>
    <mergeCell ref="C45:O45"/>
    <mergeCell ref="P45:Q45"/>
    <mergeCell ref="B34:D34"/>
    <mergeCell ref="B35:D35"/>
    <mergeCell ref="B36:D36"/>
    <mergeCell ref="B37:D37"/>
    <mergeCell ref="P44:Q44"/>
    <mergeCell ref="D44:G44"/>
    <mergeCell ref="P41:Q41"/>
    <mergeCell ref="P42:Q42"/>
    <mergeCell ref="P43:Q43"/>
    <mergeCell ref="D43:G43"/>
    <mergeCell ref="D42:G42"/>
    <mergeCell ref="L35:N35"/>
    <mergeCell ref="L36:N36"/>
    <mergeCell ref="O34:P34"/>
    <mergeCell ref="O35:P35"/>
    <mergeCell ref="I34:J34"/>
    <mergeCell ref="I35:J35"/>
    <mergeCell ref="P7:Q7"/>
    <mergeCell ref="P8:Q8"/>
    <mergeCell ref="P9:Q9"/>
    <mergeCell ref="P10:Q10"/>
    <mergeCell ref="P11:Q11"/>
    <mergeCell ref="P12:Q12"/>
    <mergeCell ref="C7:O7"/>
    <mergeCell ref="C8:N8"/>
    <mergeCell ref="C9:O9"/>
    <mergeCell ref="C10:N10"/>
    <mergeCell ref="C11:O11"/>
    <mergeCell ref="C12:N12"/>
    <mergeCell ref="O31:P31"/>
    <mergeCell ref="O32:P32"/>
    <mergeCell ref="O33:P33"/>
    <mergeCell ref="L28:N28"/>
    <mergeCell ref="L29:N29"/>
    <mergeCell ref="L30:N30"/>
    <mergeCell ref="L31:N31"/>
    <mergeCell ref="L32:N32"/>
    <mergeCell ref="B25:D25"/>
    <mergeCell ref="G25:H25"/>
    <mergeCell ref="I25:J25"/>
    <mergeCell ref="L25:N25"/>
    <mergeCell ref="O25:P25"/>
    <mergeCell ref="O26:P26"/>
    <mergeCell ref="B27:D27"/>
    <mergeCell ref="G27:H27"/>
    <mergeCell ref="I27:J27"/>
    <mergeCell ref="L27:N27"/>
    <mergeCell ref="O27:P27"/>
    <mergeCell ref="O28:P28"/>
    <mergeCell ref="O29:P29"/>
    <mergeCell ref="O30:P30"/>
    <mergeCell ref="C21:O21"/>
    <mergeCell ref="P21:Q21"/>
    <mergeCell ref="S38:T41"/>
    <mergeCell ref="O36:P36"/>
    <mergeCell ref="B38:J38"/>
    <mergeCell ref="D39:G39"/>
    <mergeCell ref="D40:G40"/>
    <mergeCell ref="D41:G41"/>
    <mergeCell ref="I31:J31"/>
    <mergeCell ref="I32:J32"/>
    <mergeCell ref="I33:J33"/>
    <mergeCell ref="G28:H28"/>
    <mergeCell ref="G29:H29"/>
    <mergeCell ref="G30:H30"/>
    <mergeCell ref="G31:H31"/>
    <mergeCell ref="G32:H32"/>
    <mergeCell ref="G33:H33"/>
    <mergeCell ref="G34:H34"/>
    <mergeCell ref="B31:D31"/>
    <mergeCell ref="B32:D32"/>
    <mergeCell ref="B33:D33"/>
    <mergeCell ref="B26:D26"/>
    <mergeCell ref="G26:H26"/>
    <mergeCell ref="I26:J26"/>
    <mergeCell ref="B28:D28"/>
    <mergeCell ref="B29:D29"/>
    <mergeCell ref="B30:D30"/>
    <mergeCell ref="L33:N33"/>
    <mergeCell ref="L34:N34"/>
    <mergeCell ref="I28:J28"/>
    <mergeCell ref="I29:J29"/>
    <mergeCell ref="I30:J30"/>
    <mergeCell ref="B23:N23"/>
    <mergeCell ref="L26:N26"/>
  </mergeCells>
  <pageMargins left="0.7" right="0.7" top="0.78740157499999996" bottom="0.78740157499999996" header="0.3" footer="0.3"/>
  <pageSetup paperSize="9" orientation="portrait" r:id="rId1"/>
  <headerFooter>
    <oddFooter>&amp;L&amp;"-,Fett Kursiv"&amp;10Franz Feldmann&amp;"-,Kursiv"&amp;9 www.e13.ch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75"/>
  <sheetViews>
    <sheetView topLeftCell="A13" workbookViewId="0">
      <selection activeCell="C24" sqref="C24"/>
    </sheetView>
  </sheetViews>
  <sheetFormatPr baseColWidth="10" defaultRowHeight="15" x14ac:dyDescent="0.25"/>
  <cols>
    <col min="1" max="1" width="11.42578125" style="5"/>
    <col min="2" max="2" width="38.5703125" style="5" customWidth="1"/>
    <col min="3" max="3" width="15.28515625" style="5" customWidth="1"/>
    <col min="4" max="16384" width="11.42578125" style="5"/>
  </cols>
  <sheetData>
    <row r="1" spans="2:3" s="7" customFormat="1" ht="17.25" x14ac:dyDescent="0.25">
      <c r="B1" s="7" t="s">
        <v>37</v>
      </c>
      <c r="C1" s="6" t="s">
        <v>38</v>
      </c>
    </row>
    <row r="2" spans="2:3" x14ac:dyDescent="0.25">
      <c r="B2" t="s">
        <v>12</v>
      </c>
      <c r="C2" s="3">
        <v>2.71</v>
      </c>
    </row>
    <row r="3" spans="2:3" x14ac:dyDescent="0.25">
      <c r="B3" t="s">
        <v>8</v>
      </c>
      <c r="C3" s="3">
        <v>2.4500000000000002</v>
      </c>
    </row>
    <row r="4" spans="2:3" x14ac:dyDescent="0.25">
      <c r="B4" t="s">
        <v>27</v>
      </c>
      <c r="C4" s="3">
        <v>11.34</v>
      </c>
    </row>
    <row r="5" spans="2:3" x14ac:dyDescent="0.25">
      <c r="B5" t="s">
        <v>17</v>
      </c>
      <c r="C5" s="3">
        <v>7.2</v>
      </c>
    </row>
    <row r="6" spans="2:3" x14ac:dyDescent="0.25">
      <c r="B6" s="4" t="s">
        <v>33</v>
      </c>
      <c r="C6" s="3">
        <v>3.51</v>
      </c>
    </row>
    <row r="7" spans="2:3" x14ac:dyDescent="0.25">
      <c r="B7" t="s">
        <v>2</v>
      </c>
      <c r="C7" s="3">
        <v>0.8</v>
      </c>
    </row>
    <row r="8" spans="2:3" x14ac:dyDescent="0.25">
      <c r="B8" t="s">
        <v>3</v>
      </c>
      <c r="C8" s="3">
        <v>0.91700000000000004</v>
      </c>
    </row>
    <row r="9" spans="2:3" x14ac:dyDescent="0.25">
      <c r="B9" t="s">
        <v>32</v>
      </c>
      <c r="C9" s="3">
        <v>7.86</v>
      </c>
    </row>
    <row r="10" spans="2:3" x14ac:dyDescent="0.25">
      <c r="B10" t="s">
        <v>20</v>
      </c>
      <c r="C10" s="3">
        <v>7.7</v>
      </c>
    </row>
    <row r="11" spans="2:3" x14ac:dyDescent="0.25">
      <c r="B11" t="s">
        <v>11</v>
      </c>
      <c r="C11" s="3">
        <v>2.5</v>
      </c>
    </row>
    <row r="12" spans="2:3" x14ac:dyDescent="0.25">
      <c r="B12" t="s">
        <v>1</v>
      </c>
      <c r="C12" s="3">
        <v>0.5</v>
      </c>
    </row>
    <row r="13" spans="2:3" x14ac:dyDescent="0.25">
      <c r="B13" t="s">
        <v>10</v>
      </c>
      <c r="C13" s="3">
        <v>2.2999999999999998</v>
      </c>
    </row>
    <row r="14" spans="2:3" x14ac:dyDescent="0.25">
      <c r="B14" t="s">
        <v>29</v>
      </c>
      <c r="C14" s="3">
        <v>19.302</v>
      </c>
    </row>
    <row r="15" spans="2:3" x14ac:dyDescent="0.25">
      <c r="B15" t="s">
        <v>13</v>
      </c>
      <c r="C15" s="3">
        <v>2.8</v>
      </c>
    </row>
    <row r="16" spans="2:3" x14ac:dyDescent="0.25">
      <c r="B16" s="4" t="s">
        <v>4</v>
      </c>
      <c r="C16" s="3">
        <v>0.92</v>
      </c>
    </row>
    <row r="17" spans="2:3" x14ac:dyDescent="0.25">
      <c r="B17" t="s">
        <v>18</v>
      </c>
      <c r="C17" s="3">
        <v>7.25</v>
      </c>
    </row>
    <row r="18" spans="2:3" x14ac:dyDescent="0.25">
      <c r="B18" s="4" t="s">
        <v>31</v>
      </c>
      <c r="C18" s="3">
        <v>2.25</v>
      </c>
    </row>
    <row r="19" spans="2:3" x14ac:dyDescent="0.25">
      <c r="B19" t="s">
        <v>0</v>
      </c>
      <c r="C19" s="3">
        <v>0.48</v>
      </c>
    </row>
    <row r="20" spans="2:3" x14ac:dyDescent="0.25">
      <c r="B20" t="s">
        <v>25</v>
      </c>
      <c r="C20" s="3">
        <v>8.9600000000000009</v>
      </c>
    </row>
    <row r="21" spans="2:3" x14ac:dyDescent="0.25">
      <c r="B21" t="s">
        <v>7</v>
      </c>
      <c r="C21" s="3">
        <v>1.738</v>
      </c>
    </row>
    <row r="22" spans="2:3" x14ac:dyDescent="0.25">
      <c r="B22" t="s">
        <v>23</v>
      </c>
      <c r="C22" s="3">
        <v>8.1</v>
      </c>
    </row>
    <row r="23" spans="2:3" x14ac:dyDescent="0.25">
      <c r="B23" t="s">
        <v>24</v>
      </c>
      <c r="C23" s="3">
        <v>8.91</v>
      </c>
    </row>
    <row r="24" spans="2:3" x14ac:dyDescent="0.25">
      <c r="B24" t="s">
        <v>39</v>
      </c>
      <c r="C24" s="3">
        <v>0.8</v>
      </c>
    </row>
    <row r="25" spans="2:3" x14ac:dyDescent="0.25">
      <c r="B25" t="s">
        <v>30</v>
      </c>
      <c r="C25" s="3">
        <v>21.45</v>
      </c>
    </row>
    <row r="26" spans="2:3" x14ac:dyDescent="0.25">
      <c r="B26" s="4" t="s">
        <v>34</v>
      </c>
      <c r="C26" s="3">
        <v>1.19</v>
      </c>
    </row>
    <row r="27" spans="2:3" x14ac:dyDescent="0.25">
      <c r="B27" t="s">
        <v>9</v>
      </c>
      <c r="C27" s="3">
        <v>2.2000000000000002</v>
      </c>
    </row>
    <row r="28" spans="2:3" x14ac:dyDescent="0.25">
      <c r="B28" s="4" t="s">
        <v>35</v>
      </c>
      <c r="C28" s="3">
        <v>13.595000000000001</v>
      </c>
    </row>
    <row r="29" spans="2:3" x14ac:dyDescent="0.25">
      <c r="B29" t="s">
        <v>36</v>
      </c>
      <c r="C29" s="3">
        <v>2.0699999999999998</v>
      </c>
    </row>
    <row r="30" spans="2:3" x14ac:dyDescent="0.25">
      <c r="B30" t="s">
        <v>26</v>
      </c>
      <c r="C30" s="3">
        <v>10.49</v>
      </c>
    </row>
    <row r="31" spans="2:3" x14ac:dyDescent="0.25">
      <c r="B31" t="s">
        <v>22</v>
      </c>
      <c r="C31" s="3">
        <v>7.9</v>
      </c>
    </row>
    <row r="32" spans="2:3" x14ac:dyDescent="0.25">
      <c r="B32" t="s">
        <v>21</v>
      </c>
      <c r="C32" s="3">
        <v>7.85</v>
      </c>
    </row>
    <row r="33" spans="2:3" x14ac:dyDescent="0.25">
      <c r="B33" t="s">
        <v>6</v>
      </c>
      <c r="C33" s="3">
        <v>1.35</v>
      </c>
    </row>
    <row r="34" spans="2:3" x14ac:dyDescent="0.25">
      <c r="B34" t="s">
        <v>15</v>
      </c>
      <c r="C34" s="3">
        <v>4.5</v>
      </c>
    </row>
    <row r="35" spans="2:3" x14ac:dyDescent="0.25">
      <c r="B35" t="s">
        <v>28</v>
      </c>
      <c r="C35" s="3">
        <v>19.05</v>
      </c>
    </row>
    <row r="36" spans="2:3" x14ac:dyDescent="0.25">
      <c r="B36" t="s">
        <v>5</v>
      </c>
      <c r="C36" s="3">
        <v>1</v>
      </c>
    </row>
    <row r="37" spans="2:3" x14ac:dyDescent="0.25">
      <c r="B37" t="s">
        <v>14</v>
      </c>
      <c r="C37" s="3">
        <v>3.1</v>
      </c>
    </row>
    <row r="38" spans="2:3" x14ac:dyDescent="0.25">
      <c r="B38" t="s">
        <v>16</v>
      </c>
      <c r="C38" s="3">
        <v>7130</v>
      </c>
    </row>
    <row r="39" spans="2:3" x14ac:dyDescent="0.25">
      <c r="B39" t="s">
        <v>19</v>
      </c>
      <c r="C39" s="3">
        <v>7.28</v>
      </c>
    </row>
    <row r="40" spans="2:3" x14ac:dyDescent="0.25">
      <c r="B40"/>
      <c r="C40" s="3"/>
    </row>
    <row r="41" spans="2:3" x14ac:dyDescent="0.25">
      <c r="B41"/>
      <c r="C41" s="3"/>
    </row>
    <row r="42" spans="2:3" x14ac:dyDescent="0.25">
      <c r="B42"/>
      <c r="C42" s="3"/>
    </row>
    <row r="43" spans="2:3" x14ac:dyDescent="0.25">
      <c r="B43" s="2"/>
      <c r="C43" s="3"/>
    </row>
    <row r="44" spans="2:3" x14ac:dyDescent="0.25">
      <c r="B44"/>
      <c r="C44" s="3"/>
    </row>
    <row r="45" spans="2:3" x14ac:dyDescent="0.25">
      <c r="B45"/>
      <c r="C45" s="3"/>
    </row>
    <row r="46" spans="2:3" x14ac:dyDescent="0.25">
      <c r="B46"/>
      <c r="C46" s="3"/>
    </row>
    <row r="48" spans="2:3" x14ac:dyDescent="0.25">
      <c r="B48" s="2"/>
      <c r="C48" s="3"/>
    </row>
    <row r="49" spans="2:3" x14ac:dyDescent="0.25">
      <c r="B49" s="2"/>
      <c r="C49" s="3"/>
    </row>
    <row r="50" spans="2:3" x14ac:dyDescent="0.25">
      <c r="B50" s="2"/>
      <c r="C50" s="3"/>
    </row>
    <row r="51" spans="2:3" x14ac:dyDescent="0.25">
      <c r="B51" s="2"/>
      <c r="C51" s="3"/>
    </row>
    <row r="52" spans="2:3" x14ac:dyDescent="0.25">
      <c r="B52" s="2"/>
      <c r="C52" s="3"/>
    </row>
    <row r="53" spans="2:3" x14ac:dyDescent="0.25">
      <c r="B53" s="2"/>
      <c r="C53" s="3"/>
    </row>
    <row r="54" spans="2:3" x14ac:dyDescent="0.25">
      <c r="B54" s="2"/>
      <c r="C54" s="3"/>
    </row>
    <row r="55" spans="2:3" x14ac:dyDescent="0.25">
      <c r="B55" s="2"/>
      <c r="C55" s="3"/>
    </row>
    <row r="56" spans="2:3" x14ac:dyDescent="0.25">
      <c r="B56" s="2"/>
      <c r="C56" s="3"/>
    </row>
    <row r="57" spans="2:3" x14ac:dyDescent="0.25">
      <c r="B57" s="2"/>
      <c r="C57" s="3"/>
    </row>
    <row r="58" spans="2:3" x14ac:dyDescent="0.25">
      <c r="B58" s="2"/>
      <c r="C58" s="3"/>
    </row>
    <row r="59" spans="2:3" x14ac:dyDescent="0.25">
      <c r="B59" s="2"/>
      <c r="C59" s="3"/>
    </row>
    <row r="60" spans="2:3" x14ac:dyDescent="0.25">
      <c r="B60" s="2"/>
      <c r="C60" s="3"/>
    </row>
    <row r="61" spans="2:3" x14ac:dyDescent="0.25">
      <c r="B61" s="2"/>
      <c r="C61" s="3"/>
    </row>
    <row r="62" spans="2:3" x14ac:dyDescent="0.25">
      <c r="B62" s="2"/>
      <c r="C62" s="3"/>
    </row>
    <row r="63" spans="2:3" x14ac:dyDescent="0.25">
      <c r="B63" s="2"/>
      <c r="C63" s="3"/>
    </row>
    <row r="64" spans="2:3" x14ac:dyDescent="0.25">
      <c r="B64" s="2"/>
      <c r="C64" s="3"/>
    </row>
    <row r="65" spans="2:3" x14ac:dyDescent="0.25">
      <c r="B65" s="2"/>
      <c r="C65" s="3"/>
    </row>
    <row r="66" spans="2:3" x14ac:dyDescent="0.25">
      <c r="B66" s="2"/>
      <c r="C66" s="3"/>
    </row>
    <row r="67" spans="2:3" x14ac:dyDescent="0.25">
      <c r="B67" s="2"/>
      <c r="C67" s="3"/>
    </row>
    <row r="68" spans="2:3" x14ac:dyDescent="0.25">
      <c r="B68" s="2"/>
      <c r="C68" s="3"/>
    </row>
    <row r="69" spans="2:3" x14ac:dyDescent="0.25">
      <c r="B69" s="2"/>
      <c r="C69" s="3"/>
    </row>
    <row r="70" spans="2:3" x14ac:dyDescent="0.25">
      <c r="B70" s="2"/>
      <c r="C70" s="3"/>
    </row>
    <row r="71" spans="2:3" x14ac:dyDescent="0.25">
      <c r="B71" s="2"/>
      <c r="C71" s="3"/>
    </row>
    <row r="72" spans="2:3" x14ac:dyDescent="0.25">
      <c r="B72" s="2"/>
      <c r="C72" s="3"/>
    </row>
    <row r="73" spans="2:3" x14ac:dyDescent="0.25">
      <c r="B73" s="2"/>
      <c r="C73" s="3"/>
    </row>
    <row r="74" spans="2:3" x14ac:dyDescent="0.25">
      <c r="B74" s="2"/>
      <c r="C74" s="3"/>
    </row>
    <row r="75" spans="2:3" x14ac:dyDescent="0.25">
      <c r="B75" s="2"/>
      <c r="C75" s="3"/>
    </row>
  </sheetData>
  <sortState ref="B2:D46">
    <sortCondition ref="B2"/>
  </sortState>
  <pageMargins left="0.7" right="0.7" top="0.78740157499999996" bottom="0.78740157499999996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4"/>
  <sheetViews>
    <sheetView topLeftCell="E1" workbookViewId="0">
      <selection activeCell="K1" sqref="K1"/>
    </sheetView>
  </sheetViews>
  <sheetFormatPr baseColWidth="10" defaultRowHeight="15" x14ac:dyDescent="0.25"/>
  <cols>
    <col min="1" max="1" width="4.7109375" style="10" customWidth="1"/>
    <col min="2" max="2" width="75.140625" style="8" customWidth="1"/>
    <col min="3" max="3" width="12.5703125" style="8" customWidth="1"/>
    <col min="4" max="4" width="13.85546875" style="10" customWidth="1"/>
    <col min="5" max="5" width="4.7109375" style="10" customWidth="1"/>
    <col min="6" max="6" width="74.140625" style="10" customWidth="1"/>
    <col min="7" max="7" width="11.42578125" style="10"/>
    <col min="8" max="8" width="21.85546875" style="10" customWidth="1"/>
    <col min="9" max="9" width="2.85546875" style="10" customWidth="1"/>
    <col min="10" max="10" width="16" style="10" customWidth="1"/>
    <col min="11" max="11" width="10.28515625" style="10" customWidth="1"/>
    <col min="12" max="12" width="11.42578125" style="10"/>
    <col min="13" max="13" width="10.42578125" style="10" customWidth="1"/>
    <col min="14" max="14" width="14.5703125" style="10" customWidth="1"/>
    <col min="15" max="15" width="3" style="10" customWidth="1"/>
    <col min="16" max="16" width="19.7109375" style="10" customWidth="1"/>
    <col min="17" max="17" width="36.42578125" style="10" customWidth="1"/>
    <col min="18" max="18" width="20.140625" style="10" customWidth="1"/>
    <col min="19" max="19" width="22" style="10" customWidth="1"/>
    <col min="20" max="20" width="35" style="10" customWidth="1"/>
    <col min="21" max="21" width="14.42578125" style="10" customWidth="1"/>
    <col min="22" max="22" width="23.7109375" style="10" customWidth="1"/>
    <col min="23" max="16384" width="11.42578125" style="10"/>
  </cols>
  <sheetData>
    <row r="1" spans="1:22" x14ac:dyDescent="0.25">
      <c r="A1" s="13" t="s">
        <v>52</v>
      </c>
      <c r="B1" s="14" t="str">
        <f ca="1">IF(A1="","",INDIRECT("F"&amp;MATCH(LARGE(H$1:H$25,ROW()),H$1:H$25,0)))</f>
        <v>Eine Firma bestellt 0.442 cm³ Platin. Wie viel wiegt das?</v>
      </c>
      <c r="C1" s="14" t="str">
        <f t="shared" ref="C1:C24" ca="1" si="0">IF(A1="","",INDIRECT("G"&amp;MATCH(LARGE(H$1:H$25,ROW()),H$1:H$25,0)))</f>
        <v>9.5 Gramm</v>
      </c>
      <c r="D1" s="16">
        <f ca="1">IF(A1="","",INDIRECT("V"&amp;MATCH(LARGE(H$1:H$25,ROW()),H$1:H$25,0)))</f>
        <v>308.65225080385846</v>
      </c>
      <c r="E1" s="13"/>
      <c r="F1" s="10" t="str">
        <f ca="1">CONCATENATE(R1," ",S1," ",T1)</f>
        <v>Ein Händler kauft 19.5 Gramm Diamanten. Wie gross ist das Volumen in cm³?</v>
      </c>
      <c r="G1" s="10" t="str">
        <f ca="1">U1</f>
        <v>5.555 cm³</v>
      </c>
      <c r="H1" s="10">
        <f ca="1">RANDBETWEEN(1,20000)</f>
        <v>14010</v>
      </c>
      <c r="J1" s="9" t="s">
        <v>50</v>
      </c>
      <c r="K1" s="9">
        <v>3.51</v>
      </c>
      <c r="L1" s="10">
        <f ca="1">RANDBETWEEN(2,150)*0.5</f>
        <v>19.5</v>
      </c>
      <c r="M1" s="10">
        <f ca="1">TRUNC(L1/K1,3)</f>
        <v>5.5549999999999997</v>
      </c>
      <c r="N1" s="10">
        <f ca="1">M1/1000</f>
        <v>5.555E-3</v>
      </c>
      <c r="P1" s="10" t="s">
        <v>44</v>
      </c>
      <c r="Q1" s="10" t="s">
        <v>48</v>
      </c>
      <c r="R1" s="10" t="str">
        <f ca="1">CHOOSE(RANDBETWEEN(1,4),$P$1,$P$2,$P$3,$P$4)</f>
        <v>Ein Händler kauft</v>
      </c>
      <c r="S1" s="10" t="str">
        <f t="shared" ref="S1:S11" ca="1" si="1">CONCATENATE(L1," Gramm ",J1,".")</f>
        <v>19.5 Gramm Diamanten.</v>
      </c>
      <c r="T1" s="10" t="str">
        <f t="shared" ref="T1:T6" si="2">$Q$1</f>
        <v>Wie gross ist das Volumen in cm³?</v>
      </c>
      <c r="U1" s="10" t="str">
        <f ca="1">CONCATENATE(M1," cm³")</f>
        <v>5.555 cm³</v>
      </c>
      <c r="V1" s="16">
        <f ca="1">L1*Kosten!$B$1</f>
        <v>1950000</v>
      </c>
    </row>
    <row r="2" spans="1:22" x14ac:dyDescent="0.25">
      <c r="A2" s="13" t="s">
        <v>53</v>
      </c>
      <c r="B2" s="14" t="str">
        <f t="shared" ref="B2:B24" ca="1" si="3">IF(A2="","",INDIRECT("F"&amp;MATCH(LARGE(H$1:H$25,ROW()),H$1:H$25,0)))</f>
        <v>Eine Firma bestellt 45 Gramm Platin. Wie gross ist das Volumen in dm³?</v>
      </c>
      <c r="C2" s="14" t="str">
        <f t="shared" ca="1" si="0"/>
        <v>0.002097 dm³</v>
      </c>
      <c r="D2" s="16">
        <f t="shared" ref="D2:D24" ca="1" si="4">IF(A2="","",INDIRECT("V"&amp;MATCH(LARGE(H$1:H$25,ROW()),H$1:H$25,0)))</f>
        <v>1462.0369774919611</v>
      </c>
      <c r="E2" s="13"/>
      <c r="F2" s="10" t="str">
        <f t="shared" ref="F2:F24" ca="1" si="5">CONCATENATE(R2," ",S2," ",T2)</f>
        <v>Eine Firma kauft 27 Gramm Gold. Wie gross ist das Volumen in cm³?</v>
      </c>
      <c r="G2" s="10" t="str">
        <f t="shared" ref="G2:G24" ca="1" si="6">U2</f>
        <v>1.398 cm³</v>
      </c>
      <c r="H2" s="10">
        <f t="shared" ref="H2:H24" ca="1" si="7">RANDBETWEEN(1,20000)</f>
        <v>4107</v>
      </c>
      <c r="J2" s="11" t="s">
        <v>29</v>
      </c>
      <c r="K2" s="9">
        <v>19.302</v>
      </c>
      <c r="L2" s="10">
        <f t="shared" ref="L2:L24" ca="1" si="8">RANDBETWEEN(2,150)*0.5</f>
        <v>27</v>
      </c>
      <c r="M2" s="10">
        <f t="shared" ref="M2:M23" ca="1" si="9">TRUNC(L2/K2,3)</f>
        <v>1.3979999999999999</v>
      </c>
      <c r="N2" s="10">
        <f t="shared" ref="N2:N24" ca="1" si="10">M2/1000</f>
        <v>1.3979999999999999E-3</v>
      </c>
      <c r="P2" s="10" t="s">
        <v>45</v>
      </c>
      <c r="Q2" s="10" t="s">
        <v>49</v>
      </c>
      <c r="R2" s="10" t="str">
        <f t="shared" ref="R2:R24" ca="1" si="11">CHOOSE(RANDBETWEEN(1,4),$P$1,$P$2,$P$3,$P$4)</f>
        <v>Eine Firma kauft</v>
      </c>
      <c r="S2" s="10" t="str">
        <f t="shared" ca="1" si="1"/>
        <v>27 Gramm Gold.</v>
      </c>
      <c r="T2" s="10" t="str">
        <f t="shared" si="2"/>
        <v>Wie gross ist das Volumen in cm³?</v>
      </c>
      <c r="U2" s="10" t="str">
        <f t="shared" ref="U2:U6" ca="1" si="12">CONCATENATE(M2," cm³")</f>
        <v>1.398 cm³</v>
      </c>
      <c r="V2" s="16">
        <f ca="1">L2*Kosten!$B$3</f>
        <v>1070.01</v>
      </c>
    </row>
    <row r="3" spans="1:22" x14ac:dyDescent="0.25">
      <c r="A3" s="13" t="s">
        <v>54</v>
      </c>
      <c r="B3" s="14" t="str">
        <f t="shared" ca="1" si="3"/>
        <v>Eine Firma bestellt 1.165 cm³ Gold. Wie viel wiegt das?</v>
      </c>
      <c r="C3" s="14" t="str">
        <f t="shared" ca="1" si="0"/>
        <v>22.5 Gramm</v>
      </c>
      <c r="D3" s="16">
        <f t="shared" ca="1" si="4"/>
        <v>891.67500000000007</v>
      </c>
      <c r="E3" s="13"/>
      <c r="F3" s="10" t="str">
        <f t="shared" ca="1" si="5"/>
        <v>Eine Firma bestellt 45.5 Gramm Platin. Wie gross ist das Volumen in cm³?</v>
      </c>
      <c r="G3" s="10" t="str">
        <f t="shared" ca="1" si="6"/>
        <v>2.121 cm³</v>
      </c>
      <c r="H3" s="10">
        <f t="shared" ca="1" si="7"/>
        <v>7555</v>
      </c>
      <c r="J3" s="11" t="s">
        <v>30</v>
      </c>
      <c r="K3" s="9">
        <v>21.45</v>
      </c>
      <c r="L3" s="10">
        <f t="shared" ca="1" si="8"/>
        <v>45.5</v>
      </c>
      <c r="M3" s="10">
        <f t="shared" ca="1" si="9"/>
        <v>2.121</v>
      </c>
      <c r="N3" s="10">
        <f t="shared" ca="1" si="10"/>
        <v>2.1210000000000001E-3</v>
      </c>
      <c r="P3" s="10" t="s">
        <v>46</v>
      </c>
      <c r="Q3" s="10" t="s">
        <v>51</v>
      </c>
      <c r="R3" s="10" t="str">
        <f t="shared" ca="1" si="11"/>
        <v>Eine Firma bestellt</v>
      </c>
      <c r="S3" s="10" t="str">
        <f t="shared" ca="1" si="1"/>
        <v>45.5 Gramm Platin.</v>
      </c>
      <c r="T3" s="10" t="str">
        <f t="shared" si="2"/>
        <v>Wie gross ist das Volumen in cm³?</v>
      </c>
      <c r="U3" s="10" t="str">
        <f t="shared" ca="1" si="12"/>
        <v>2.121 cm³</v>
      </c>
      <c r="V3" s="16">
        <f ca="1">L3*Kosten!$B$4</f>
        <v>1478.2818327974273</v>
      </c>
    </row>
    <row r="4" spans="1:22" x14ac:dyDescent="0.25">
      <c r="A4" s="13" t="s">
        <v>55</v>
      </c>
      <c r="B4" s="14" t="str">
        <f t="shared" ca="1" si="3"/>
        <v>Ein Händler bestellt 28.5 Gramm Silber. Wie gross ist das Volumen in cm³?</v>
      </c>
      <c r="C4" s="14" t="str">
        <f t="shared" ca="1" si="0"/>
        <v>2.716 cm³</v>
      </c>
      <c r="D4" s="16">
        <f t="shared" ca="1" si="4"/>
        <v>16.529999999999998</v>
      </c>
      <c r="E4" s="13"/>
      <c r="F4" s="10" t="str">
        <f t="shared" ca="1" si="5"/>
        <v>Ein Händler bestellt 28.5 Gramm Silber. Wie gross ist das Volumen in cm³?</v>
      </c>
      <c r="G4" s="10" t="str">
        <f t="shared" ca="1" si="6"/>
        <v>2.716 cm³</v>
      </c>
      <c r="H4" s="10">
        <f t="shared" ca="1" si="7"/>
        <v>18656</v>
      </c>
      <c r="J4" s="11" t="s">
        <v>26</v>
      </c>
      <c r="K4" s="9">
        <v>10.49</v>
      </c>
      <c r="L4" s="10">
        <f t="shared" ca="1" si="8"/>
        <v>28.5</v>
      </c>
      <c r="M4" s="10">
        <f t="shared" ca="1" si="9"/>
        <v>2.7160000000000002</v>
      </c>
      <c r="N4" s="10">
        <f t="shared" ca="1" si="10"/>
        <v>2.7160000000000001E-3</v>
      </c>
      <c r="P4" s="10" t="s">
        <v>47</v>
      </c>
      <c r="Q4" s="10" t="s">
        <v>90</v>
      </c>
      <c r="R4" s="10" t="str">
        <f t="shared" ca="1" si="11"/>
        <v>Ein Händler bestellt</v>
      </c>
      <c r="S4" s="10" t="str">
        <f t="shared" ca="1" si="1"/>
        <v>28.5 Gramm Silber.</v>
      </c>
      <c r="T4" s="10" t="str">
        <f t="shared" si="2"/>
        <v>Wie gross ist das Volumen in cm³?</v>
      </c>
      <c r="U4" s="10" t="str">
        <f t="shared" ca="1" si="12"/>
        <v>2.716 cm³</v>
      </c>
      <c r="V4" s="16">
        <f ca="1">L4*Kosten!$B$2</f>
        <v>16.529999999999998</v>
      </c>
    </row>
    <row r="5" spans="1:22" x14ac:dyDescent="0.25">
      <c r="A5" s="13" t="s">
        <v>56</v>
      </c>
      <c r="B5" s="14" t="str">
        <f t="shared" ca="1" si="3"/>
        <v>Ein Händler kauft 0.007666 dm³ Titan. Wie viel wiegt das?</v>
      </c>
      <c r="C5" s="14" t="str">
        <f t="shared" ca="1" si="0"/>
        <v>34.5 Gramm</v>
      </c>
      <c r="D5" s="16">
        <f t="shared" ca="1" si="4"/>
        <v>0.85663499999999992</v>
      </c>
      <c r="E5" s="13"/>
      <c r="F5" s="10" t="str">
        <f t="shared" ca="1" si="5"/>
        <v>Ein Händler kauft 68 Gramm Titan. Wie gross ist das Volumen in cm³?</v>
      </c>
      <c r="G5" s="10" t="str">
        <f t="shared" ca="1" si="6"/>
        <v>15.111 cm³</v>
      </c>
      <c r="H5" s="10">
        <f t="shared" ca="1" si="7"/>
        <v>6928</v>
      </c>
      <c r="J5" s="11" t="s">
        <v>15</v>
      </c>
      <c r="K5" s="9">
        <v>4.5</v>
      </c>
      <c r="L5" s="10">
        <f t="shared" ca="1" si="8"/>
        <v>68</v>
      </c>
      <c r="M5" s="10">
        <f t="shared" ca="1" si="9"/>
        <v>15.111000000000001</v>
      </c>
      <c r="N5" s="10">
        <f t="shared" ca="1" si="10"/>
        <v>1.5111000000000001E-2</v>
      </c>
      <c r="R5" s="10" t="str">
        <f t="shared" ca="1" si="11"/>
        <v>Ein Händler kauft</v>
      </c>
      <c r="S5" s="10" t="str">
        <f t="shared" ca="1" si="1"/>
        <v>68 Gramm Titan.</v>
      </c>
      <c r="T5" s="10" t="str">
        <f t="shared" si="2"/>
        <v>Wie gross ist das Volumen in cm³?</v>
      </c>
      <c r="U5" s="10" t="str">
        <f t="shared" ca="1" si="12"/>
        <v>15.111 cm³</v>
      </c>
      <c r="V5" s="16">
        <f ca="1">L5*Kosten!$B$6</f>
        <v>1.6884399999999999</v>
      </c>
    </row>
    <row r="6" spans="1:22" x14ac:dyDescent="0.25">
      <c r="A6" s="13" t="s">
        <v>57</v>
      </c>
      <c r="B6" s="14" t="str">
        <f t="shared" ca="1" si="3"/>
        <v>Ein Händler kauft 0.005672 dm³ Silber. Wie viel wiegt das?</v>
      </c>
      <c r="C6" s="14" t="str">
        <f t="shared" ca="1" si="0"/>
        <v>59.5 Gramm</v>
      </c>
      <c r="D6" s="16">
        <f t="shared" ca="1" si="4"/>
        <v>34.51</v>
      </c>
      <c r="E6" s="13"/>
      <c r="F6" s="10" t="str">
        <f t="shared" ca="1" si="5"/>
        <v>Eine Firma bestellt 48.5 Kilogramm Uran. Wie gross ist das Volumen in cm³?</v>
      </c>
      <c r="G6" s="10" t="str">
        <f t="shared" ca="1" si="6"/>
        <v>2545.931 cm³</v>
      </c>
      <c r="H6" s="10">
        <f t="shared" ca="1" si="7"/>
        <v>15659</v>
      </c>
      <c r="J6" s="11" t="s">
        <v>28</v>
      </c>
      <c r="K6" s="9">
        <v>19.05</v>
      </c>
      <c r="L6" s="10">
        <f t="shared" ca="1" si="8"/>
        <v>48.5</v>
      </c>
      <c r="M6" s="10">
        <f ca="1">TRUNC(L6/K6*1000,3)</f>
        <v>2545.931</v>
      </c>
      <c r="N6" s="10">
        <f t="shared" ca="1" si="10"/>
        <v>2.5459309999999999</v>
      </c>
      <c r="R6" s="10" t="str">
        <f t="shared" ca="1" si="11"/>
        <v>Eine Firma bestellt</v>
      </c>
      <c r="S6" s="10" t="str">
        <f ca="1">CONCATENATE(L6," Kilogramm ",J6,".")</f>
        <v>48.5 Kilogramm Uran.</v>
      </c>
      <c r="T6" s="10" t="str">
        <f t="shared" si="2"/>
        <v>Wie gross ist das Volumen in cm³?</v>
      </c>
      <c r="U6" s="10" t="str">
        <f t="shared" ca="1" si="12"/>
        <v>2545.931 cm³</v>
      </c>
      <c r="V6" s="16">
        <f ca="1">L6*Kosten!$B$5</f>
        <v>10.402279999999999</v>
      </c>
    </row>
    <row r="7" spans="1:22" x14ac:dyDescent="0.25">
      <c r="A7" s="13" t="s">
        <v>58</v>
      </c>
      <c r="B7" s="14" t="str">
        <f t="shared" ca="1" si="3"/>
        <v>Ein Händler kauft 0.001118 dm³ Platin. Wie viel wiegt das?</v>
      </c>
      <c r="C7" s="14" t="str">
        <f t="shared" ca="1" si="0"/>
        <v>24 Gramm</v>
      </c>
      <c r="D7" s="16">
        <f t="shared" ca="1" si="4"/>
        <v>779.75305466237933</v>
      </c>
      <c r="E7" s="13"/>
      <c r="F7" s="10" t="str">
        <f t="shared" ca="1" si="5"/>
        <v>Ein Händler kauft 25.5 Gramm Diamanten. Wie gross ist das Volumen in dm³?</v>
      </c>
      <c r="G7" s="10" t="str">
        <f t="shared" ca="1" si="6"/>
        <v>0.007264 dm³</v>
      </c>
      <c r="H7" s="10">
        <f t="shared" ca="1" si="7"/>
        <v>13102</v>
      </c>
      <c r="J7" s="9" t="s">
        <v>50</v>
      </c>
      <c r="K7" s="9">
        <v>3.51</v>
      </c>
      <c r="L7" s="10">
        <f t="shared" ca="1" si="8"/>
        <v>25.5</v>
      </c>
      <c r="M7" s="10">
        <f t="shared" ca="1" si="9"/>
        <v>7.2640000000000002</v>
      </c>
      <c r="N7" s="10">
        <f ca="1">M7/1000</f>
        <v>7.2640000000000005E-3</v>
      </c>
      <c r="R7" s="10" t="str">
        <f t="shared" ca="1" si="11"/>
        <v>Ein Händler kauft</v>
      </c>
      <c r="S7" s="10" t="str">
        <f t="shared" ca="1" si="1"/>
        <v>25.5 Gramm Diamanten.</v>
      </c>
      <c r="T7" s="10" t="str">
        <f>$Q$2</f>
        <v>Wie gross ist das Volumen in dm³?</v>
      </c>
      <c r="U7" s="10" t="str">
        <f ca="1">CONCATENATE(N7," dm³")</f>
        <v>0.007264 dm³</v>
      </c>
      <c r="V7" s="16">
        <f ca="1">L7*Kosten!$B$1</f>
        <v>2550000</v>
      </c>
    </row>
    <row r="8" spans="1:22" x14ac:dyDescent="0.25">
      <c r="A8" s="13" t="s">
        <v>59</v>
      </c>
      <c r="B8" s="14" t="str">
        <f t="shared" ca="1" si="3"/>
        <v>Eine Firma bestellt 2.887139 dm³ Uran. Wie viel wiegt das?</v>
      </c>
      <c r="C8" s="14" t="str">
        <f t="shared" ca="1" si="0"/>
        <v>55 Kilogramm</v>
      </c>
      <c r="D8" s="16">
        <f t="shared" ca="1" si="4"/>
        <v>11.796399999999998</v>
      </c>
      <c r="E8" s="13"/>
      <c r="F8" s="10" t="str">
        <f t="shared" ca="1" si="5"/>
        <v>Ein Händler kauft 39 Gramm Gold. Wie gross ist das Volumen in dm³?</v>
      </c>
      <c r="G8" s="10" t="str">
        <f t="shared" ca="1" si="6"/>
        <v>0.00202 dm³</v>
      </c>
      <c r="H8" s="10">
        <f t="shared" ca="1" si="7"/>
        <v>8557</v>
      </c>
      <c r="J8" s="11" t="s">
        <v>29</v>
      </c>
      <c r="K8" s="9">
        <v>19.302</v>
      </c>
      <c r="L8" s="10">
        <f t="shared" ca="1" si="8"/>
        <v>39</v>
      </c>
      <c r="M8" s="10">
        <f t="shared" ca="1" si="9"/>
        <v>2.02</v>
      </c>
      <c r="N8" s="10">
        <f t="shared" ca="1" si="10"/>
        <v>2.0200000000000001E-3</v>
      </c>
      <c r="R8" s="10" t="str">
        <f t="shared" ca="1" si="11"/>
        <v>Ein Händler kauft</v>
      </c>
      <c r="S8" s="10" t="str">
        <f t="shared" ca="1" si="1"/>
        <v>39 Gramm Gold.</v>
      </c>
      <c r="T8" s="10" t="str">
        <f t="shared" ref="T8:T12" si="13">$Q$2</f>
        <v>Wie gross ist das Volumen in dm³?</v>
      </c>
      <c r="U8" s="10" t="str">
        <f t="shared" ref="U8:U12" ca="1" si="14">CONCATENATE(N8," dm³")</f>
        <v>0.00202 dm³</v>
      </c>
      <c r="V8" s="16">
        <f ca="1">L8*Kosten!$B$3</f>
        <v>1545.5700000000002</v>
      </c>
    </row>
    <row r="9" spans="1:22" x14ac:dyDescent="0.25">
      <c r="A9" s="13" t="s">
        <v>60</v>
      </c>
      <c r="B9" s="14" t="str">
        <f t="shared" ca="1" si="3"/>
        <v>Eine Firma bestellt 48.5 Kilogramm Uran. Wie gross ist das Volumen in cm³?</v>
      </c>
      <c r="C9" s="14" t="str">
        <f t="shared" ca="1" si="0"/>
        <v>2545.931 cm³</v>
      </c>
      <c r="D9" s="16">
        <f t="shared" ca="1" si="4"/>
        <v>10.402279999999999</v>
      </c>
      <c r="E9" s="13"/>
      <c r="F9" s="10" t="str">
        <f t="shared" ca="1" si="5"/>
        <v>Eine Firma bestellt 45 Gramm Platin. Wie gross ist das Volumen in dm³?</v>
      </c>
      <c r="G9" s="10" t="str">
        <f t="shared" ca="1" si="6"/>
        <v>0.002097 dm³</v>
      </c>
      <c r="H9" s="10">
        <f t="shared" ca="1" si="7"/>
        <v>19071</v>
      </c>
      <c r="J9" s="11" t="s">
        <v>30</v>
      </c>
      <c r="K9" s="9">
        <v>21.45</v>
      </c>
      <c r="L9" s="10">
        <f t="shared" ca="1" si="8"/>
        <v>45</v>
      </c>
      <c r="M9" s="10">
        <f t="shared" ca="1" si="9"/>
        <v>2.097</v>
      </c>
      <c r="N9" s="10">
        <f t="shared" ca="1" si="10"/>
        <v>2.0969999999999999E-3</v>
      </c>
      <c r="R9" s="10" t="str">
        <f t="shared" ca="1" si="11"/>
        <v>Eine Firma bestellt</v>
      </c>
      <c r="S9" s="10" t="str">
        <f t="shared" ca="1" si="1"/>
        <v>45 Gramm Platin.</v>
      </c>
      <c r="T9" s="10" t="str">
        <f t="shared" si="13"/>
        <v>Wie gross ist das Volumen in dm³?</v>
      </c>
      <c r="U9" s="10" t="str">
        <f t="shared" ca="1" si="14"/>
        <v>0.002097 dm³</v>
      </c>
      <c r="V9" s="16">
        <f ca="1">L9*Kosten!$B$4</f>
        <v>1462.0369774919611</v>
      </c>
    </row>
    <row r="10" spans="1:22" x14ac:dyDescent="0.25">
      <c r="A10" s="13" t="s">
        <v>61</v>
      </c>
      <c r="B10" s="14" t="str">
        <f t="shared" ca="1" si="3"/>
        <v>Ein Händler kauft 19.5 Gramm Diamanten. Wie gross ist das Volumen in cm³?</v>
      </c>
      <c r="C10" s="14" t="str">
        <f t="shared" ca="1" si="0"/>
        <v>5.555 cm³</v>
      </c>
      <c r="D10" s="16">
        <f t="shared" ca="1" si="4"/>
        <v>1950000</v>
      </c>
      <c r="E10" s="13"/>
      <c r="F10" s="10" t="str">
        <f t="shared" ca="1" si="5"/>
        <v>Eine Firma bestellt 60 Gramm Silber. Wie gross ist das Volumen in dm³?</v>
      </c>
      <c r="G10" s="10" t="str">
        <f t="shared" ca="1" si="6"/>
        <v>0.005719 dm³</v>
      </c>
      <c r="H10" s="10">
        <f t="shared" ca="1" si="7"/>
        <v>5591</v>
      </c>
      <c r="J10" s="11" t="s">
        <v>26</v>
      </c>
      <c r="K10" s="9">
        <v>10.49</v>
      </c>
      <c r="L10" s="10">
        <f t="shared" ca="1" si="8"/>
        <v>60</v>
      </c>
      <c r="M10" s="10">
        <f t="shared" ca="1" si="9"/>
        <v>5.7190000000000003</v>
      </c>
      <c r="N10" s="10">
        <f t="shared" ca="1" si="10"/>
        <v>5.7190000000000001E-3</v>
      </c>
      <c r="R10" s="10" t="str">
        <f t="shared" ca="1" si="11"/>
        <v>Eine Firma bestellt</v>
      </c>
      <c r="S10" s="10" t="str">
        <f t="shared" ca="1" si="1"/>
        <v>60 Gramm Silber.</v>
      </c>
      <c r="T10" s="10" t="str">
        <f t="shared" si="13"/>
        <v>Wie gross ist das Volumen in dm³?</v>
      </c>
      <c r="U10" s="10" t="str">
        <f t="shared" ca="1" si="14"/>
        <v>0.005719 dm³</v>
      </c>
      <c r="V10" s="16">
        <f ca="1">L10*Kosten!$B$2</f>
        <v>34.799999999999997</v>
      </c>
    </row>
    <row r="11" spans="1:22" x14ac:dyDescent="0.25">
      <c r="A11" s="13" t="s">
        <v>62</v>
      </c>
      <c r="B11" s="14" t="str">
        <f t="shared" ca="1" si="3"/>
        <v>Ein Händler kauft 682.414 cm³ Uran. Wie viel wiegt das?</v>
      </c>
      <c r="C11" s="14" t="str">
        <f t="shared" ca="1" si="0"/>
        <v>13 Kilogramm</v>
      </c>
      <c r="D11" s="16">
        <f t="shared" ca="1" si="4"/>
        <v>2.7882399999999996</v>
      </c>
      <c r="E11" s="13"/>
      <c r="F11" s="10" t="str">
        <f t="shared" ca="1" si="5"/>
        <v>Eine Firma bestellt 34.5 Gramm Titan. Wie gross ist das Volumen in dm³?</v>
      </c>
      <c r="G11" s="10" t="str">
        <f t="shared" ca="1" si="6"/>
        <v>0.007666 dm³</v>
      </c>
      <c r="H11" s="10">
        <f t="shared" ca="1" si="7"/>
        <v>6160</v>
      </c>
      <c r="J11" s="11" t="s">
        <v>15</v>
      </c>
      <c r="K11" s="9">
        <v>4.5</v>
      </c>
      <c r="L11" s="10">
        <f t="shared" ca="1" si="8"/>
        <v>34.5</v>
      </c>
      <c r="M11" s="10">
        <f t="shared" ca="1" si="9"/>
        <v>7.6660000000000004</v>
      </c>
      <c r="N11" s="10">
        <f t="shared" ca="1" si="10"/>
        <v>7.6660000000000001E-3</v>
      </c>
      <c r="R11" s="10" t="str">
        <f t="shared" ca="1" si="11"/>
        <v>Eine Firma bestellt</v>
      </c>
      <c r="S11" s="10" t="str">
        <f t="shared" ca="1" si="1"/>
        <v>34.5 Gramm Titan.</v>
      </c>
      <c r="T11" s="10" t="str">
        <f t="shared" si="13"/>
        <v>Wie gross ist das Volumen in dm³?</v>
      </c>
      <c r="U11" s="10" t="str">
        <f t="shared" ca="1" si="14"/>
        <v>0.007666 dm³</v>
      </c>
      <c r="V11" s="16">
        <f ca="1">L11*Kosten!$B$6</f>
        <v>0.85663499999999992</v>
      </c>
    </row>
    <row r="12" spans="1:22" x14ac:dyDescent="0.25">
      <c r="A12" s="13" t="s">
        <v>63</v>
      </c>
      <c r="B12" s="14" t="str">
        <f t="shared" ca="1" si="3"/>
        <v>Ein Händler kauft 25.5 Gramm Diamanten. Wie gross ist das Volumen in dm³?</v>
      </c>
      <c r="C12" s="14" t="str">
        <f t="shared" ca="1" si="0"/>
        <v>0.007264 dm³</v>
      </c>
      <c r="D12" s="16">
        <f t="shared" ca="1" si="4"/>
        <v>2550000</v>
      </c>
      <c r="E12" s="13"/>
      <c r="F12" s="10" t="str">
        <f t="shared" ca="1" si="5"/>
        <v>Ein Händler kauft 38 Kilogramm Uran. Wie gross ist das Volumen in dm³?</v>
      </c>
      <c r="G12" s="10" t="str">
        <f t="shared" ca="1" si="6"/>
        <v>1.99475 dm³</v>
      </c>
      <c r="H12" s="10">
        <f t="shared" ca="1" si="7"/>
        <v>6668</v>
      </c>
      <c r="J12" s="11" t="s">
        <v>28</v>
      </c>
      <c r="K12" s="9">
        <v>19.05</v>
      </c>
      <c r="L12" s="10">
        <f t="shared" ca="1" si="8"/>
        <v>38</v>
      </c>
      <c r="M12" s="10">
        <f ca="1">TRUNC(L12/K12*1000,3)</f>
        <v>1994.75</v>
      </c>
      <c r="N12" s="10">
        <f t="shared" ca="1" si="10"/>
        <v>1.99475</v>
      </c>
      <c r="R12" s="10" t="str">
        <f t="shared" ca="1" si="11"/>
        <v>Ein Händler kauft</v>
      </c>
      <c r="S12" s="10" t="str">
        <f ca="1">CONCATENATE(L12," Kilogramm ",J12,".")</f>
        <v>38 Kilogramm Uran.</v>
      </c>
      <c r="T12" s="10" t="str">
        <f t="shared" si="13"/>
        <v>Wie gross ist das Volumen in dm³?</v>
      </c>
      <c r="U12" s="10" t="str">
        <f t="shared" ca="1" si="14"/>
        <v>1.99475 dm³</v>
      </c>
      <c r="V12" s="16">
        <f ca="1">L12*Kosten!$B$5</f>
        <v>8.1502399999999984</v>
      </c>
    </row>
    <row r="13" spans="1:22" x14ac:dyDescent="0.25">
      <c r="A13" s="13" t="s">
        <v>64</v>
      </c>
      <c r="B13" s="14" t="str">
        <f t="shared" ca="1" si="3"/>
        <v>Ein Händler bestellt 0.001036 dm³ Gold. Wie viel wiegt das?</v>
      </c>
      <c r="C13" s="14" t="str">
        <f t="shared" ca="1" si="0"/>
        <v>20 Gramm</v>
      </c>
      <c r="D13" s="16">
        <f t="shared" ca="1" si="4"/>
        <v>792.6</v>
      </c>
      <c r="E13" s="13"/>
      <c r="F13" s="10" t="str">
        <f t="shared" ca="1" si="5"/>
        <v>Ein Händler bestellt 14.102 cm³ Diamanten. Wie viel wiegt das?</v>
      </c>
      <c r="G13" s="10" t="str">
        <f t="shared" ca="1" si="6"/>
        <v>49.5 Gramm</v>
      </c>
      <c r="H13" s="10">
        <f t="shared" ca="1" si="7"/>
        <v>4755</v>
      </c>
      <c r="J13" s="9" t="s">
        <v>50</v>
      </c>
      <c r="K13" s="9">
        <v>3.51</v>
      </c>
      <c r="L13" s="10">
        <f t="shared" ca="1" si="8"/>
        <v>49.5</v>
      </c>
      <c r="M13" s="10">
        <f t="shared" ca="1" si="9"/>
        <v>14.102</v>
      </c>
      <c r="N13" s="10">
        <f ca="1">M13/1000</f>
        <v>1.4102E-2</v>
      </c>
      <c r="R13" s="10" t="str">
        <f t="shared" ca="1" si="11"/>
        <v>Ein Händler bestellt</v>
      </c>
      <c r="S13" s="10" t="str">
        <f ca="1">CONCATENATE(M13," cm³ ",J13,".")</f>
        <v>14.102 cm³ Diamanten.</v>
      </c>
      <c r="T13" s="10" t="str">
        <f>$Q$3</f>
        <v>Wie viel wiegt das?</v>
      </c>
      <c r="U13" s="10" t="str">
        <f ca="1">CONCATENATE(L13," Gramm")</f>
        <v>49.5 Gramm</v>
      </c>
      <c r="V13" s="16">
        <f ca="1">L13*Kosten!$B$1</f>
        <v>4950000</v>
      </c>
    </row>
    <row r="14" spans="1:22" x14ac:dyDescent="0.25">
      <c r="A14" s="13" t="s">
        <v>65</v>
      </c>
      <c r="B14" s="14" t="str">
        <f t="shared" ca="1" si="3"/>
        <v>Ein Händler kauft 39 Gramm Gold. Wie gross ist das Volumen in dm³?</v>
      </c>
      <c r="C14" s="14" t="str">
        <f t="shared" ca="1" si="0"/>
        <v>0.00202 dm³</v>
      </c>
      <c r="D14" s="16">
        <f t="shared" ca="1" si="4"/>
        <v>1545.5700000000002</v>
      </c>
      <c r="E14" s="13"/>
      <c r="F14" s="10" t="str">
        <f t="shared" ca="1" si="5"/>
        <v>Eine Firma bestellt 1.165 cm³ Gold. Wie viel wiegt das?</v>
      </c>
      <c r="G14" s="10" t="str">
        <f t="shared" ca="1" si="6"/>
        <v>22.5 Gramm</v>
      </c>
      <c r="H14" s="10">
        <f t="shared" ca="1" si="7"/>
        <v>18868</v>
      </c>
      <c r="J14" s="11" t="s">
        <v>29</v>
      </c>
      <c r="K14" s="9">
        <v>19.302</v>
      </c>
      <c r="L14" s="10">
        <f t="shared" ca="1" si="8"/>
        <v>22.5</v>
      </c>
      <c r="M14" s="10">
        <f t="shared" ca="1" si="9"/>
        <v>1.165</v>
      </c>
      <c r="N14" s="10">
        <f t="shared" ca="1" si="10"/>
        <v>1.165E-3</v>
      </c>
      <c r="R14" s="10" t="str">
        <f t="shared" ca="1" si="11"/>
        <v>Eine Firma bestellt</v>
      </c>
      <c r="S14" s="10" t="str">
        <f t="shared" ref="S14:S19" ca="1" si="15">CONCATENATE(M14," cm³ ",J14,".")</f>
        <v>1.165 cm³ Gold.</v>
      </c>
      <c r="T14" s="10" t="str">
        <f t="shared" ref="T14:T24" si="16">$Q$3</f>
        <v>Wie viel wiegt das?</v>
      </c>
      <c r="U14" s="10" t="str">
        <f t="shared" ref="U14:U23" ca="1" si="17">CONCATENATE(L14," Gramm")</f>
        <v>22.5 Gramm</v>
      </c>
      <c r="V14" s="16">
        <f ca="1">L14*Kosten!$B$3</f>
        <v>891.67500000000007</v>
      </c>
    </row>
    <row r="15" spans="1:22" x14ac:dyDescent="0.25">
      <c r="A15" s="13" t="s">
        <v>66</v>
      </c>
      <c r="B15" s="14" t="str">
        <f t="shared" ca="1" si="3"/>
        <v>Eine Firma bestellt 45.5 Gramm Platin. Wie gross ist das Volumen in cm³?</v>
      </c>
      <c r="C15" s="14" t="str">
        <f t="shared" ca="1" si="0"/>
        <v>2.121 cm³</v>
      </c>
      <c r="D15" s="16">
        <f t="shared" ca="1" si="4"/>
        <v>1478.2818327974273</v>
      </c>
      <c r="E15" s="13"/>
      <c r="F15" s="10" t="str">
        <f t="shared" ca="1" si="5"/>
        <v>Eine Firma bestellt 0.442 cm³ Platin. Wie viel wiegt das?</v>
      </c>
      <c r="G15" s="10" t="str">
        <f t="shared" ca="1" si="6"/>
        <v>9.5 Gramm</v>
      </c>
      <c r="H15" s="10">
        <f t="shared" ca="1" si="7"/>
        <v>19441</v>
      </c>
      <c r="J15" s="11" t="s">
        <v>30</v>
      </c>
      <c r="K15" s="9">
        <v>21.45</v>
      </c>
      <c r="L15" s="10">
        <f t="shared" ca="1" si="8"/>
        <v>9.5</v>
      </c>
      <c r="M15" s="10">
        <f t="shared" ca="1" si="9"/>
        <v>0.442</v>
      </c>
      <c r="N15" s="10">
        <f t="shared" ca="1" si="10"/>
        <v>4.4200000000000001E-4</v>
      </c>
      <c r="R15" s="10" t="str">
        <f t="shared" ca="1" si="11"/>
        <v>Eine Firma bestellt</v>
      </c>
      <c r="S15" s="10" t="str">
        <f t="shared" ca="1" si="15"/>
        <v>0.442 cm³ Platin.</v>
      </c>
      <c r="T15" s="10" t="str">
        <f t="shared" si="16"/>
        <v>Wie viel wiegt das?</v>
      </c>
      <c r="U15" s="10" t="str">
        <f t="shared" ca="1" si="17"/>
        <v>9.5 Gramm</v>
      </c>
      <c r="V15" s="16">
        <f ca="1">L15*Kosten!$B$4</f>
        <v>308.65225080385846</v>
      </c>
    </row>
    <row r="16" spans="1:22" x14ac:dyDescent="0.25">
      <c r="A16" s="13" t="s">
        <v>67</v>
      </c>
      <c r="B16" s="14" t="str">
        <f t="shared" ca="1" si="3"/>
        <v>Ein Händler kauft 68 Gramm Titan. Wie gross ist das Volumen in cm³?</v>
      </c>
      <c r="C16" s="14" t="str">
        <f t="shared" ca="1" si="0"/>
        <v>15.111 cm³</v>
      </c>
      <c r="D16" s="16">
        <f t="shared" ca="1" si="4"/>
        <v>1.6884399999999999</v>
      </c>
      <c r="E16" s="13"/>
      <c r="F16" s="10" t="str">
        <f t="shared" ca="1" si="5"/>
        <v>Ein Händler bestellt 0.476 cm³ Silber. Wie viel wiegt das?</v>
      </c>
      <c r="G16" s="10" t="str">
        <f t="shared" ca="1" si="6"/>
        <v>5 Gramm</v>
      </c>
      <c r="H16" s="10">
        <f t="shared" ca="1" si="7"/>
        <v>4219</v>
      </c>
      <c r="J16" s="11" t="s">
        <v>26</v>
      </c>
      <c r="K16" s="9">
        <v>10.49</v>
      </c>
      <c r="L16" s="10">
        <f t="shared" ca="1" si="8"/>
        <v>5</v>
      </c>
      <c r="M16" s="10">
        <f t="shared" ca="1" si="9"/>
        <v>0.47599999999999998</v>
      </c>
      <c r="N16" s="10">
        <f t="shared" ca="1" si="10"/>
        <v>4.7599999999999997E-4</v>
      </c>
      <c r="R16" s="10" t="str">
        <f t="shared" ca="1" si="11"/>
        <v>Ein Händler bestellt</v>
      </c>
      <c r="S16" s="10" t="str">
        <f t="shared" ca="1" si="15"/>
        <v>0.476 cm³ Silber.</v>
      </c>
      <c r="T16" s="10" t="str">
        <f t="shared" si="16"/>
        <v>Wie viel wiegt das?</v>
      </c>
      <c r="U16" s="10" t="str">
        <f t="shared" ca="1" si="17"/>
        <v>5 Gramm</v>
      </c>
      <c r="V16" s="16">
        <f ca="1">L16*Kosten!$B$2</f>
        <v>2.9</v>
      </c>
    </row>
    <row r="17" spans="1:22" x14ac:dyDescent="0.25">
      <c r="A17" s="13" t="s">
        <v>68</v>
      </c>
      <c r="B17" s="14" t="str">
        <f t="shared" ca="1" si="3"/>
        <v>Ein Händler kauft 38 Kilogramm Uran. Wie gross ist das Volumen in dm³?</v>
      </c>
      <c r="C17" s="14" t="str">
        <f t="shared" ca="1" si="0"/>
        <v>1.99475 dm³</v>
      </c>
      <c r="D17" s="16">
        <f t="shared" ca="1" si="4"/>
        <v>8.1502399999999984</v>
      </c>
      <c r="E17" s="13"/>
      <c r="F17" s="10" t="str">
        <f t="shared" ca="1" si="5"/>
        <v>Eine Firma bestellt 7.888 cm³ Titan. Wie viel wiegt das?</v>
      </c>
      <c r="G17" s="10" t="str">
        <f t="shared" ca="1" si="6"/>
        <v>35.5 Gramm</v>
      </c>
      <c r="H17" s="10">
        <f t="shared" ca="1" si="7"/>
        <v>55</v>
      </c>
      <c r="J17" s="11" t="s">
        <v>15</v>
      </c>
      <c r="K17" s="9">
        <v>4.5</v>
      </c>
      <c r="L17" s="10">
        <f t="shared" ca="1" si="8"/>
        <v>35.5</v>
      </c>
      <c r="M17" s="10">
        <f t="shared" ca="1" si="9"/>
        <v>7.8879999999999999</v>
      </c>
      <c r="N17" s="10">
        <f t="shared" ca="1" si="10"/>
        <v>7.8879999999999992E-3</v>
      </c>
      <c r="R17" s="10" t="str">
        <f t="shared" ca="1" si="11"/>
        <v>Eine Firma bestellt</v>
      </c>
      <c r="S17" s="10" t="str">
        <f t="shared" ca="1" si="15"/>
        <v>7.888 cm³ Titan.</v>
      </c>
      <c r="T17" s="10" t="str">
        <f t="shared" si="16"/>
        <v>Wie viel wiegt das?</v>
      </c>
      <c r="U17" s="10" t="str">
        <f t="shared" ca="1" si="17"/>
        <v>35.5 Gramm</v>
      </c>
      <c r="V17" s="16">
        <f ca="1">L17*Kosten!$B$6</f>
        <v>0.88146499999999994</v>
      </c>
    </row>
    <row r="18" spans="1:22" x14ac:dyDescent="0.25">
      <c r="A18" s="13" t="s">
        <v>69</v>
      </c>
      <c r="B18" s="14" t="str">
        <f t="shared" ca="1" si="3"/>
        <v>Eine Firma bestellt 34.5 Gramm Titan. Wie gross ist das Volumen in dm³?</v>
      </c>
      <c r="C18" s="14" t="str">
        <f t="shared" ca="1" si="0"/>
        <v>0.007666 dm³</v>
      </c>
      <c r="D18" s="16">
        <f t="shared" ca="1" si="4"/>
        <v>0.85663499999999992</v>
      </c>
      <c r="E18" s="13"/>
      <c r="F18" s="10" t="str">
        <f t="shared" ca="1" si="5"/>
        <v>Ein Händler kauft 682.414 cm³ Uran. Wie viel wiegt das?</v>
      </c>
      <c r="G18" s="10" t="str">
        <f t="shared" ca="1" si="6"/>
        <v>13 Kilogramm</v>
      </c>
      <c r="H18" s="10">
        <f t="shared" ca="1" si="7"/>
        <v>13901</v>
      </c>
      <c r="J18" s="11" t="s">
        <v>28</v>
      </c>
      <c r="K18" s="9">
        <v>19.05</v>
      </c>
      <c r="L18" s="10">
        <f t="shared" ca="1" si="8"/>
        <v>13</v>
      </c>
      <c r="M18" s="10">
        <f ca="1">TRUNC(L18/K18*1000,3)</f>
        <v>682.41399999999999</v>
      </c>
      <c r="N18" s="10">
        <f t="shared" ca="1" si="10"/>
        <v>0.68241399999999997</v>
      </c>
      <c r="R18" s="10" t="str">
        <f t="shared" ca="1" si="11"/>
        <v>Ein Händler kauft</v>
      </c>
      <c r="S18" s="10" t="str">
        <f t="shared" ca="1" si="15"/>
        <v>682.414 cm³ Uran.</v>
      </c>
      <c r="T18" s="10" t="str">
        <f t="shared" si="16"/>
        <v>Wie viel wiegt das?</v>
      </c>
      <c r="U18" s="10" t="str">
        <f ca="1">CONCATENATE(L18," Kilogramm")</f>
        <v>13 Kilogramm</v>
      </c>
      <c r="V18" s="16">
        <f ca="1">L18*Kosten!$B$5</f>
        <v>2.7882399999999996</v>
      </c>
    </row>
    <row r="19" spans="1:22" x14ac:dyDescent="0.25">
      <c r="A19" s="13" t="s">
        <v>70</v>
      </c>
      <c r="B19" s="14" t="str">
        <f t="shared" ca="1" si="3"/>
        <v>Eine Firma bestellt 60 Gramm Silber. Wie gross ist das Volumen in dm³?</v>
      </c>
      <c r="C19" s="14" t="str">
        <f t="shared" ca="1" si="0"/>
        <v>0.005719 dm³</v>
      </c>
      <c r="D19" s="16">
        <f t="shared" ca="1" si="4"/>
        <v>34.799999999999997</v>
      </c>
      <c r="E19" s="13"/>
      <c r="F19" s="10" t="str">
        <f t="shared" ca="1" si="5"/>
        <v>Ein Händler bestellt 3.846 cm³ Diamanten. Wie viel wiegt das?</v>
      </c>
      <c r="G19" s="10" t="str">
        <f t="shared" ca="1" si="6"/>
        <v>13.5 Gramm</v>
      </c>
      <c r="H19" s="10">
        <f t="shared" ca="1" si="7"/>
        <v>2515</v>
      </c>
      <c r="J19" s="9" t="s">
        <v>50</v>
      </c>
      <c r="K19" s="9">
        <v>3.51</v>
      </c>
      <c r="L19" s="10">
        <f t="shared" ca="1" si="8"/>
        <v>13.5</v>
      </c>
      <c r="M19" s="10">
        <f t="shared" ca="1" si="9"/>
        <v>3.8460000000000001</v>
      </c>
      <c r="N19" s="10">
        <f ca="1">M19/1000</f>
        <v>3.846E-3</v>
      </c>
      <c r="R19" s="10" t="str">
        <f t="shared" ca="1" si="11"/>
        <v>Ein Händler bestellt</v>
      </c>
      <c r="S19" s="10" t="str">
        <f t="shared" ca="1" si="15"/>
        <v>3.846 cm³ Diamanten.</v>
      </c>
      <c r="T19" s="10" t="str">
        <f t="shared" si="16"/>
        <v>Wie viel wiegt das?</v>
      </c>
      <c r="U19" s="10" t="str">
        <f t="shared" ca="1" si="17"/>
        <v>13.5 Gramm</v>
      </c>
      <c r="V19" s="16">
        <f ca="1">L19*Kosten!$B$1</f>
        <v>1350000</v>
      </c>
    </row>
    <row r="20" spans="1:22" x14ac:dyDescent="0.25">
      <c r="A20" s="13" t="s">
        <v>71</v>
      </c>
      <c r="B20" s="14" t="str">
        <f t="shared" ca="1" si="3"/>
        <v>Ein Händler bestellt 14.102 cm³ Diamanten. Wie viel wiegt das?</v>
      </c>
      <c r="C20" s="14" t="str">
        <f t="shared" ca="1" si="0"/>
        <v>49.5 Gramm</v>
      </c>
      <c r="D20" s="16">
        <f t="shared" ca="1" si="4"/>
        <v>4950000</v>
      </c>
      <c r="E20" s="13"/>
      <c r="F20" s="10" t="str">
        <f t="shared" ca="1" si="5"/>
        <v>Ein Händler bestellt 0.001036 dm³ Gold. Wie viel wiegt das?</v>
      </c>
      <c r="G20" s="10" t="str">
        <f t="shared" ca="1" si="6"/>
        <v>20 Gramm</v>
      </c>
      <c r="H20" s="10">
        <f t="shared" ca="1" si="7"/>
        <v>8665</v>
      </c>
      <c r="J20" s="11" t="s">
        <v>29</v>
      </c>
      <c r="K20" s="9">
        <v>19.302</v>
      </c>
      <c r="L20" s="10">
        <f t="shared" ca="1" si="8"/>
        <v>20</v>
      </c>
      <c r="M20" s="10">
        <f t="shared" ca="1" si="9"/>
        <v>1.036</v>
      </c>
      <c r="N20" s="10">
        <f t="shared" ca="1" si="10"/>
        <v>1.036E-3</v>
      </c>
      <c r="R20" s="10" t="str">
        <f t="shared" ca="1" si="11"/>
        <v>Ein Händler bestellt</v>
      </c>
      <c r="S20" s="10" t="str">
        <f ca="1">CONCATENATE(N20," dm³ ",J20,".")</f>
        <v>0.001036 dm³ Gold.</v>
      </c>
      <c r="T20" s="10" t="str">
        <f t="shared" si="16"/>
        <v>Wie viel wiegt das?</v>
      </c>
      <c r="U20" s="10" t="str">
        <f t="shared" ca="1" si="17"/>
        <v>20 Gramm</v>
      </c>
      <c r="V20" s="16">
        <f ca="1">L20*Kosten!$B$3</f>
        <v>792.6</v>
      </c>
    </row>
    <row r="21" spans="1:22" x14ac:dyDescent="0.25">
      <c r="A21" s="13" t="s">
        <v>72</v>
      </c>
      <c r="B21" s="14" t="str">
        <f t="shared" ca="1" si="3"/>
        <v>Ein Händler bestellt 0.476 cm³ Silber. Wie viel wiegt das?</v>
      </c>
      <c r="C21" s="14" t="str">
        <f t="shared" ca="1" si="0"/>
        <v>5 Gramm</v>
      </c>
      <c r="D21" s="16">
        <f t="shared" ca="1" si="4"/>
        <v>2.9</v>
      </c>
      <c r="E21" s="13"/>
      <c r="F21" s="10" t="str">
        <f t="shared" ca="1" si="5"/>
        <v>Ein Händler kauft 0.001118 dm³ Platin. Wie viel wiegt das?</v>
      </c>
      <c r="G21" s="10" t="str">
        <f t="shared" ca="1" si="6"/>
        <v>24 Gramm</v>
      </c>
      <c r="H21" s="10">
        <f t="shared" ca="1" si="7"/>
        <v>18153</v>
      </c>
      <c r="J21" s="11" t="s">
        <v>30</v>
      </c>
      <c r="K21" s="9">
        <v>21.45</v>
      </c>
      <c r="L21" s="10">
        <f t="shared" ca="1" si="8"/>
        <v>24</v>
      </c>
      <c r="M21" s="10">
        <f t="shared" ca="1" si="9"/>
        <v>1.1180000000000001</v>
      </c>
      <c r="N21" s="10">
        <f t="shared" ca="1" si="10"/>
        <v>1.1180000000000001E-3</v>
      </c>
      <c r="R21" s="10" t="str">
        <f t="shared" ca="1" si="11"/>
        <v>Ein Händler kauft</v>
      </c>
      <c r="S21" s="10" t="str">
        <f t="shared" ref="S21:S24" ca="1" si="18">CONCATENATE(N21," dm³ ",J21,".")</f>
        <v>0.001118 dm³ Platin.</v>
      </c>
      <c r="T21" s="10" t="str">
        <f t="shared" si="16"/>
        <v>Wie viel wiegt das?</v>
      </c>
      <c r="U21" s="10" t="str">
        <f t="shared" ca="1" si="17"/>
        <v>24 Gramm</v>
      </c>
      <c r="V21" s="16">
        <f ca="1">L21*Kosten!$B$4</f>
        <v>779.75305466237933</v>
      </c>
    </row>
    <row r="22" spans="1:22" x14ac:dyDescent="0.25">
      <c r="A22" s="13" t="s">
        <v>73</v>
      </c>
      <c r="B22" s="14" t="str">
        <f t="shared" ca="1" si="3"/>
        <v>Eine Firma kauft 27 Gramm Gold. Wie gross ist das Volumen in cm³?</v>
      </c>
      <c r="C22" s="14" t="str">
        <f t="shared" ca="1" si="0"/>
        <v>1.398 cm³</v>
      </c>
      <c r="D22" s="16">
        <f t="shared" ca="1" si="4"/>
        <v>1070.01</v>
      </c>
      <c r="E22" s="13"/>
      <c r="F22" s="10" t="str">
        <f t="shared" ca="1" si="5"/>
        <v>Ein Händler kauft 0.005672 dm³ Silber. Wie viel wiegt das?</v>
      </c>
      <c r="G22" s="10" t="str">
        <f t="shared" ca="1" si="6"/>
        <v>59.5 Gramm</v>
      </c>
      <c r="H22" s="10">
        <f t="shared" ca="1" si="7"/>
        <v>18206</v>
      </c>
      <c r="J22" s="11" t="s">
        <v>26</v>
      </c>
      <c r="K22" s="9">
        <v>10.49</v>
      </c>
      <c r="L22" s="10">
        <f t="shared" ca="1" si="8"/>
        <v>59.5</v>
      </c>
      <c r="M22" s="10">
        <f t="shared" ca="1" si="9"/>
        <v>5.6719999999999997</v>
      </c>
      <c r="N22" s="10">
        <f t="shared" ca="1" si="10"/>
        <v>5.672E-3</v>
      </c>
      <c r="R22" s="10" t="str">
        <f t="shared" ca="1" si="11"/>
        <v>Ein Händler kauft</v>
      </c>
      <c r="S22" s="10" t="str">
        <f t="shared" ca="1" si="18"/>
        <v>0.005672 dm³ Silber.</v>
      </c>
      <c r="T22" s="10" t="str">
        <f t="shared" si="16"/>
        <v>Wie viel wiegt das?</v>
      </c>
      <c r="U22" s="10" t="str">
        <f t="shared" ca="1" si="17"/>
        <v>59.5 Gramm</v>
      </c>
      <c r="V22" s="16">
        <f ca="1">L22*Kosten!$B$2</f>
        <v>34.51</v>
      </c>
    </row>
    <row r="23" spans="1:22" x14ac:dyDescent="0.25">
      <c r="A23" s="13" t="s">
        <v>74</v>
      </c>
      <c r="B23" s="14" t="str">
        <f t="shared" ca="1" si="3"/>
        <v>Ein Händler bestellt 3.846 cm³ Diamanten. Wie viel wiegt das?</v>
      </c>
      <c r="C23" s="14" t="str">
        <f t="shared" ca="1" si="0"/>
        <v>13.5 Gramm</v>
      </c>
      <c r="D23" s="16">
        <f t="shared" ca="1" si="4"/>
        <v>1350000</v>
      </c>
      <c r="E23" s="13"/>
      <c r="F23" s="10" t="str">
        <f t="shared" ca="1" si="5"/>
        <v>Ein Händler kauft 0.007666 dm³ Titan. Wie viel wiegt das?</v>
      </c>
      <c r="G23" s="10" t="str">
        <f t="shared" ca="1" si="6"/>
        <v>34.5 Gramm</v>
      </c>
      <c r="H23" s="10">
        <f t="shared" ca="1" si="7"/>
        <v>18327</v>
      </c>
      <c r="J23" s="11" t="s">
        <v>15</v>
      </c>
      <c r="K23" s="9">
        <v>4.5</v>
      </c>
      <c r="L23" s="10">
        <f t="shared" ca="1" si="8"/>
        <v>34.5</v>
      </c>
      <c r="M23" s="10">
        <f t="shared" ca="1" si="9"/>
        <v>7.6660000000000004</v>
      </c>
      <c r="N23" s="10">
        <f t="shared" ca="1" si="10"/>
        <v>7.6660000000000001E-3</v>
      </c>
      <c r="R23" s="10" t="str">
        <f t="shared" ca="1" si="11"/>
        <v>Ein Händler kauft</v>
      </c>
      <c r="S23" s="10" t="str">
        <f t="shared" ca="1" si="18"/>
        <v>0.007666 dm³ Titan.</v>
      </c>
      <c r="T23" s="10" t="str">
        <f t="shared" si="16"/>
        <v>Wie viel wiegt das?</v>
      </c>
      <c r="U23" s="10" t="str">
        <f t="shared" ca="1" si="17"/>
        <v>34.5 Gramm</v>
      </c>
      <c r="V23" s="16">
        <f ca="1">L23*Kosten!$B$6</f>
        <v>0.85663499999999992</v>
      </c>
    </row>
    <row r="24" spans="1:22" x14ac:dyDescent="0.25">
      <c r="A24" s="13" t="s">
        <v>75</v>
      </c>
      <c r="B24" s="14" t="str">
        <f t="shared" ca="1" si="3"/>
        <v>Eine Firma bestellt 7.888 cm³ Titan. Wie viel wiegt das?</v>
      </c>
      <c r="C24" s="14" t="str">
        <f t="shared" ca="1" si="0"/>
        <v>35.5 Gramm</v>
      </c>
      <c r="D24" s="16">
        <f t="shared" ca="1" si="4"/>
        <v>0.88146499999999994</v>
      </c>
      <c r="E24" s="13"/>
      <c r="F24" s="10" t="str">
        <f t="shared" ca="1" si="5"/>
        <v>Eine Firma bestellt 2.887139 dm³ Uran. Wie viel wiegt das?</v>
      </c>
      <c r="G24" s="10" t="str">
        <f t="shared" ca="1" si="6"/>
        <v>55 Kilogramm</v>
      </c>
      <c r="H24" s="10">
        <f t="shared" ca="1" si="7"/>
        <v>17503</v>
      </c>
      <c r="J24" s="11" t="s">
        <v>28</v>
      </c>
      <c r="K24" s="9">
        <v>19.05</v>
      </c>
      <c r="L24" s="10">
        <f t="shared" ca="1" si="8"/>
        <v>55</v>
      </c>
      <c r="M24" s="10">
        <f ca="1">TRUNC(L24/K24*1000,3)</f>
        <v>2887.1390000000001</v>
      </c>
      <c r="N24" s="10">
        <f t="shared" ca="1" si="10"/>
        <v>2.8871390000000003</v>
      </c>
      <c r="R24" s="10" t="str">
        <f t="shared" ca="1" si="11"/>
        <v>Eine Firma bestellt</v>
      </c>
      <c r="S24" s="10" t="str">
        <f t="shared" ca="1" si="18"/>
        <v>2.887139 dm³ Uran.</v>
      </c>
      <c r="T24" s="10" t="str">
        <f t="shared" si="16"/>
        <v>Wie viel wiegt das?</v>
      </c>
      <c r="U24" s="10" t="str">
        <f ca="1">CONCATENATE(L24," Kilogramm")</f>
        <v>55 Kilogramm</v>
      </c>
      <c r="V24" s="16">
        <f ca="1">L24*Kosten!$B$5</f>
        <v>11.796399999999998</v>
      </c>
    </row>
    <row r="25" spans="1:22" x14ac:dyDescent="0.25">
      <c r="J25" s="11"/>
      <c r="K25" s="9"/>
    </row>
    <row r="26" spans="1:22" x14ac:dyDescent="0.25">
      <c r="J26" s="11"/>
      <c r="K26" s="9"/>
    </row>
    <row r="27" spans="1:22" x14ac:dyDescent="0.25">
      <c r="J27" s="11"/>
      <c r="K27" s="9"/>
    </row>
    <row r="28" spans="1:22" x14ac:dyDescent="0.25">
      <c r="J28" s="9"/>
      <c r="K28" s="9"/>
    </row>
    <row r="29" spans="1:22" x14ac:dyDescent="0.25">
      <c r="J29" s="11"/>
      <c r="K29" s="9"/>
    </row>
    <row r="30" spans="1:22" x14ac:dyDescent="0.25">
      <c r="J30" s="9"/>
      <c r="K30" s="9"/>
    </row>
    <row r="31" spans="1:22" x14ac:dyDescent="0.25">
      <c r="J31" s="11"/>
      <c r="K31" s="9"/>
    </row>
    <row r="32" spans="1:22" x14ac:dyDescent="0.25">
      <c r="J32" s="11"/>
      <c r="K32" s="9"/>
    </row>
    <row r="33" spans="10:11" x14ac:dyDescent="0.25">
      <c r="J33" s="11"/>
      <c r="K33" s="9"/>
    </row>
    <row r="34" spans="10:11" x14ac:dyDescent="0.25">
      <c r="J34" s="11"/>
      <c r="K34" s="9"/>
    </row>
    <row r="35" spans="10:11" x14ac:dyDescent="0.25">
      <c r="J35" s="11"/>
      <c r="K35" s="9"/>
    </row>
    <row r="36" spans="10:11" x14ac:dyDescent="0.25">
      <c r="J36" s="11"/>
      <c r="K36" s="9"/>
    </row>
    <row r="37" spans="10:11" x14ac:dyDescent="0.25">
      <c r="J37" s="11"/>
      <c r="K37" s="9"/>
    </row>
    <row r="38" spans="10:11" x14ac:dyDescent="0.25">
      <c r="J38" s="11"/>
      <c r="K38" s="9"/>
    </row>
    <row r="39" spans="10:11" x14ac:dyDescent="0.25">
      <c r="J39" s="11"/>
      <c r="K39" s="9"/>
    </row>
    <row r="40" spans="10:11" x14ac:dyDescent="0.25">
      <c r="J40" s="11"/>
      <c r="K40" s="9"/>
    </row>
    <row r="41" spans="10:11" x14ac:dyDescent="0.25">
      <c r="J41" s="11"/>
      <c r="K41" s="9"/>
    </row>
    <row r="42" spans="10:11" x14ac:dyDescent="0.25">
      <c r="J42" s="12"/>
      <c r="K42" s="9"/>
    </row>
    <row r="43" spans="10:11" x14ac:dyDescent="0.25">
      <c r="J43" s="11"/>
      <c r="K43" s="9"/>
    </row>
    <row r="44" spans="10:11" x14ac:dyDescent="0.25">
      <c r="J44" s="11"/>
      <c r="K44" s="9"/>
    </row>
    <row r="45" spans="10:11" x14ac:dyDescent="0.25">
      <c r="J45" s="11"/>
      <c r="K45" s="9"/>
    </row>
    <row r="47" spans="10:11" x14ac:dyDescent="0.25">
      <c r="J47" s="12"/>
      <c r="K47" s="9"/>
    </row>
    <row r="48" spans="10:11" x14ac:dyDescent="0.25">
      <c r="J48" s="12"/>
      <c r="K48" s="9"/>
    </row>
    <row r="49" spans="10:11" x14ac:dyDescent="0.25">
      <c r="J49" s="12"/>
      <c r="K49" s="9"/>
    </row>
    <row r="50" spans="10:11" x14ac:dyDescent="0.25">
      <c r="J50" s="12"/>
      <c r="K50" s="9"/>
    </row>
    <row r="51" spans="10:11" x14ac:dyDescent="0.25">
      <c r="J51" s="12"/>
      <c r="K51" s="9"/>
    </row>
    <row r="52" spans="10:11" x14ac:dyDescent="0.25">
      <c r="J52" s="12"/>
      <c r="K52" s="9"/>
    </row>
    <row r="53" spans="10:11" x14ac:dyDescent="0.25">
      <c r="J53" s="12"/>
      <c r="K53" s="9"/>
    </row>
    <row r="54" spans="10:11" x14ac:dyDescent="0.25">
      <c r="J54" s="12"/>
      <c r="K54" s="9"/>
    </row>
    <row r="55" spans="10:11" x14ac:dyDescent="0.25">
      <c r="J55" s="12"/>
      <c r="K55" s="9"/>
    </row>
    <row r="56" spans="10:11" x14ac:dyDescent="0.25">
      <c r="J56" s="12"/>
      <c r="K56" s="9"/>
    </row>
    <row r="57" spans="10:11" x14ac:dyDescent="0.25">
      <c r="J57" s="12"/>
      <c r="K57" s="9"/>
    </row>
    <row r="58" spans="10:11" x14ac:dyDescent="0.25">
      <c r="J58" s="12"/>
      <c r="K58" s="9"/>
    </row>
    <row r="59" spans="10:11" x14ac:dyDescent="0.25">
      <c r="J59" s="12"/>
      <c r="K59" s="9"/>
    </row>
    <row r="60" spans="10:11" x14ac:dyDescent="0.25">
      <c r="J60" s="12"/>
      <c r="K60" s="9"/>
    </row>
    <row r="61" spans="10:11" x14ac:dyDescent="0.25">
      <c r="J61" s="12"/>
      <c r="K61" s="9"/>
    </row>
    <row r="62" spans="10:11" x14ac:dyDescent="0.25">
      <c r="J62" s="12"/>
      <c r="K62" s="9"/>
    </row>
    <row r="63" spans="10:11" x14ac:dyDescent="0.25">
      <c r="J63" s="12"/>
      <c r="K63" s="9"/>
    </row>
    <row r="64" spans="10:11" x14ac:dyDescent="0.25">
      <c r="J64" s="12"/>
      <c r="K64" s="9"/>
    </row>
    <row r="65" spans="10:11" x14ac:dyDescent="0.25">
      <c r="J65" s="12"/>
      <c r="K65" s="9"/>
    </row>
    <row r="66" spans="10:11" x14ac:dyDescent="0.25">
      <c r="J66" s="12"/>
      <c r="K66" s="9"/>
    </row>
    <row r="67" spans="10:11" x14ac:dyDescent="0.25">
      <c r="J67" s="12"/>
      <c r="K67" s="9"/>
    </row>
    <row r="68" spans="10:11" x14ac:dyDescent="0.25">
      <c r="J68" s="12"/>
      <c r="K68" s="9"/>
    </row>
    <row r="69" spans="10:11" x14ac:dyDescent="0.25">
      <c r="J69" s="12"/>
      <c r="K69" s="9"/>
    </row>
    <row r="70" spans="10:11" x14ac:dyDescent="0.25">
      <c r="J70" s="12"/>
      <c r="K70" s="9"/>
    </row>
    <row r="71" spans="10:11" x14ac:dyDescent="0.25">
      <c r="J71" s="12"/>
      <c r="K71" s="9"/>
    </row>
    <row r="72" spans="10:11" x14ac:dyDescent="0.25">
      <c r="J72" s="12"/>
      <c r="K72" s="9"/>
    </row>
    <row r="73" spans="10:11" x14ac:dyDescent="0.25">
      <c r="J73" s="12"/>
      <c r="K73" s="9"/>
    </row>
    <row r="74" spans="10:11" x14ac:dyDescent="0.25">
      <c r="J74" s="12"/>
      <c r="K74" s="9"/>
    </row>
  </sheetData>
  <sortState ref="J2:K59">
    <sortCondition ref="J2"/>
  </sortState>
  <pageMargins left="0.7" right="0.7" top="0.78740157499999996" bottom="0.78740157499999996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C7" sqref="C7"/>
    </sheetView>
  </sheetViews>
  <sheetFormatPr baseColWidth="10" defaultRowHeight="15" x14ac:dyDescent="0.25"/>
  <cols>
    <col min="2" max="2" width="12.7109375" bestFit="1" customWidth="1"/>
    <col min="3" max="3" width="15.85546875" customWidth="1"/>
  </cols>
  <sheetData>
    <row r="1" spans="1:4" x14ac:dyDescent="0.25">
      <c r="A1" t="s">
        <v>33</v>
      </c>
      <c r="B1" s="15">
        <v>100000</v>
      </c>
      <c r="C1" s="15">
        <f>'Arbeitsblatt kostbar'!M10</f>
        <v>20000</v>
      </c>
      <c r="D1" t="s">
        <v>111</v>
      </c>
    </row>
    <row r="2" spans="1:4" x14ac:dyDescent="0.25">
      <c r="A2" t="s">
        <v>26</v>
      </c>
      <c r="B2" s="17">
        <f>'Arbeitsblatt kostbar'!M11</f>
        <v>0.57999999999999996</v>
      </c>
    </row>
    <row r="3" spans="1:4" x14ac:dyDescent="0.25">
      <c r="A3" t="s">
        <v>29</v>
      </c>
      <c r="B3" s="17">
        <f>'Arbeitsblatt kostbar'!M12</f>
        <v>39.630000000000003</v>
      </c>
    </row>
    <row r="4" spans="1:4" x14ac:dyDescent="0.25">
      <c r="A4" t="s">
        <v>30</v>
      </c>
      <c r="B4" s="15">
        <f>C4/31.1</f>
        <v>32.48971061093247</v>
      </c>
      <c r="C4" s="17">
        <f>'Arbeitsblatt kostbar'!M13</f>
        <v>1010.43</v>
      </c>
      <c r="D4" t="s">
        <v>78</v>
      </c>
    </row>
    <row r="5" spans="1:4" x14ac:dyDescent="0.25">
      <c r="A5" t="s">
        <v>28</v>
      </c>
      <c r="B5" s="15">
        <f>C5/125</f>
        <v>0.21447999999999998</v>
      </c>
      <c r="C5" s="17">
        <f>'Arbeitsblatt kostbar'!M14</f>
        <v>26.81</v>
      </c>
      <c r="D5" t="s">
        <v>76</v>
      </c>
    </row>
    <row r="6" spans="1:4" x14ac:dyDescent="0.25">
      <c r="A6" t="s">
        <v>15</v>
      </c>
      <c r="B6" s="15">
        <f>C6/1000</f>
        <v>2.4829999999999998E-2</v>
      </c>
      <c r="C6" s="17">
        <f>'Arbeitsblatt kostbar'!M15</f>
        <v>24.83</v>
      </c>
      <c r="D6" t="s">
        <v>77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6</vt:i4>
      </vt:variant>
    </vt:vector>
  </HeadingPairs>
  <TitlesOfParts>
    <vt:vector size="16" baseType="lpstr">
      <vt:lpstr>Arbeitsblatt kostbar</vt:lpstr>
      <vt:lpstr>Arbeitsblatt kost Lös</vt:lpstr>
      <vt:lpstr>Arbeitsblatt alle</vt:lpstr>
      <vt:lpstr>Arbeitsblatt alle Lös</vt:lpstr>
      <vt:lpstr>Test</vt:lpstr>
      <vt:lpstr>Test Lös</vt:lpstr>
      <vt:lpstr>alle Stoffe</vt:lpstr>
      <vt:lpstr>wertvoll</vt:lpstr>
      <vt:lpstr>Kosten</vt:lpstr>
      <vt:lpstr>wenig_Wert</vt:lpstr>
      <vt:lpstr>'Arbeitsblatt alle'!Druckbereich</vt:lpstr>
      <vt:lpstr>'Arbeitsblatt alle Lös'!Druckbereich</vt:lpstr>
      <vt:lpstr>'Arbeitsblatt kost Lös'!Druckbereich</vt:lpstr>
      <vt:lpstr>'Arbeitsblatt kostbar'!Druckbereich</vt:lpstr>
      <vt:lpstr>Test!Druckbereich</vt:lpstr>
      <vt:lpstr>'Test Lös'!Druckbereich</vt:lpstr>
    </vt:vector>
  </TitlesOfParts>
  <Company>Sek1 March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2017-02-14T10:59:55Z</cp:lastPrinted>
  <dcterms:created xsi:type="dcterms:W3CDTF">2017-02-06T09:41:40Z</dcterms:created>
  <dcterms:modified xsi:type="dcterms:W3CDTF">2017-05-22T09:37:01Z</dcterms:modified>
</cp:coreProperties>
</file>